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1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ONCO'!$A$1:$J$46</definedName>
    <definedName name="_xlnm.Print_Area" localSheetId="10">'CV UNICE'!$A$1:$J$46</definedName>
  </definedNames>
  <calcPr fullCalcOnLoad="1"/>
</workbook>
</file>

<file path=xl/sharedStrings.xml><?xml version="1.0" encoding="utf-8"?>
<sst xmlns="http://schemas.openxmlformats.org/spreadsheetml/2006/main" count="955" uniqueCount="129">
  <si>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</si>
  <si>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</si>
  <si>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</si>
  <si>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</si>
  <si>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</si>
  <si>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</si>
  <si>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</si>
  <si>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</si>
  <si>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</si>
  <si>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</si>
  <si>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</si>
  <si>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</si>
  <si>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</si>
  <si>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</si>
  <si>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</si>
  <si>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</si>
  <si>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</si>
  <si>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</si>
  <si>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</si>
  <si>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</si>
  <si>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</si>
  <si>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</si>
  <si>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</si>
  <si>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</si>
  <si>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</si>
  <si>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</si>
  <si>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</si>
  <si>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</si>
  <si>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</si>
  <si>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</si>
  <si>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</si>
  <si>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</si>
  <si>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</si>
  <si>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</si>
  <si>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</si>
  <si>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</si>
  <si>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</si>
  <si>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</si>
  <si>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</si>
  <si>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</si>
  <si>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</si>
  <si>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</si>
  <si>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</si>
  <si>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</si>
  <si>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</si>
  <si>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</si>
  <si>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</si>
  <si>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</si>
  <si>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</si>
  <si>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</si>
  <si>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</si>
  <si>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</si>
  <si>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</si>
  <si>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</si>
  <si>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</si>
  <si>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</si>
  <si>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</si>
  <si>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</si>
  <si>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</si>
  <si>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</si>
  <si>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</si>
  <si>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</si>
  <si>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</si>
  <si>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</si>
  <si>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</si>
  <si>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</si>
  <si>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</si>
  <si>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</si>
  <si>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</si>
  <si>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</si>
  <si>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</si>
  <si>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</si>
  <si>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</si>
  <si>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</si>
  <si>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</si>
  <si>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</si>
  <si>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</si>
  <si>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</si>
  <si>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</si>
  <si>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</si>
  <si>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</si>
  <si>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</si>
  <si>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</si>
  <si>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</si>
  <si>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</si>
  <si>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</si>
  <si>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</si>
  <si>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</si>
  <si>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</si>
  <si>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>LOTUS PHARMA</t>
  </si>
  <si>
    <t>ECOFARMACIA NETWORK</t>
  </si>
  <si>
    <t>36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</si>
  <si>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</si>
  <si>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</si>
  <si>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</si>
  <si>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</si>
  <si>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</si>
  <si>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</si>
  <si>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</si>
  <si>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</si>
  <si>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</si>
  <si>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</si>
  <si>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</si>
  <si>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</si>
  <si>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</si>
  <si>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</si>
  <si>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</si>
  <si>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</si>
  <si>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</si>
  <si>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</si>
  <si>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</si>
  <si>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</si>
  <si>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KOVAPROD</t>
  </si>
  <si>
    <t>BRETCU</t>
  </si>
  <si>
    <t>LENA FARMACEUTICA</t>
  </si>
  <si>
    <t>37</t>
  </si>
  <si>
    <t>38</t>
  </si>
  <si>
    <t>SITUATIA CONSUMULUI DE MEDICAMENTE IN LUNA  NOIEMBRIE 2019</t>
  </si>
  <si>
    <t>SITUATIA CONSUMULUI DE MEDICAMENTE PENTRU PENSIONARI PANA LA 1139 LEI NOIEMBRIE 2019</t>
  </si>
  <si>
    <t>SITUATIA CONSUMULUI DE MEDICAMENTE PENTRU DIABET   LUNA NOIEMBRIE 2019</t>
  </si>
  <si>
    <t>SITUATIA CONSUMULUI DE MEDICAMENTE PENTRU INSULINE LUNA NOIEMBRIE 2019</t>
  </si>
  <si>
    <t>SITUATIA CONSUMULUI DE MEDICAMENTE LA  DIABET SI INSULINE NOIEMBRIE 2019</t>
  </si>
  <si>
    <t>SITUATIA CONSUMULUI LA TESTE PENTRU LUNA NOIEMBRIE 2019</t>
  </si>
  <si>
    <t>SITUATIA CONSUMULUI DE MEDICAMENTE PENTRU PNS COST VOLUM   LUNA NOIEMBRIE 2019</t>
  </si>
  <si>
    <t>SITUATIA CONSUMULUI DE MEDICAMENTE PENTRU ONCOLOGIE  LUNA NOIEMBRIE 2019</t>
  </si>
  <si>
    <t>SITUATIA CONSUMULUI DE MEDICAMENTE LA STARI POSTTRANSPLANT NOIEMBRIE 2019</t>
  </si>
  <si>
    <t>SITUATIA CONSUMULUI DE MEDICAMENTE PENTRU SCLEROZA   LUNA NOIEMBRIE 2019</t>
  </si>
  <si>
    <t>SITUATIA CONSUMULUI DE MEDIC. PENTRU UNICE COST VOLUM   LUNA NOIEMBRIE 2019</t>
  </si>
  <si>
    <t>SITUATIA CONSUMULUI DE MEDICAMENTE LA STARI MUCOVISCIDOZA NOIEMBRIE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</si>
</sst>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2" borderId="0" xfId="0" applyNumberFormat="1" applyFont="1" applyFill="1" applyAlignment="1">
      <alignment/>
    </xf>
    <xf numFmtId="4" fontId="17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2" borderId="13" xfId="0" applyNumberFormat="1" applyFont="1" applyFill="1" applyBorder="1" applyAlignment="1">
      <alignment/>
    </xf>
    <xf numFmtId="4" fontId="2" fillId="2" borderId="14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49" fontId="3" fillId="0" borderId="4" xfId="0" applyNumberFormat="1" applyFont="1" applyBorder="1" applyAlignment="1">
      <alignment horizontal="right"/>
    </xf>
    <xf numFmtId="4" fontId="3" fillId="2" borderId="4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74"/>
  <sheetViews>
    <sheetView workbookViewId="0" topLeftCell="F4">
      <selection activeCell="U5" sqref="U5:U42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3" bestFit="1" customWidth="1"/>
    <col min="20" max="20" width="11.7109375" style="95" bestFit="1" customWidth="1"/>
    <col min="21" max="21" width="11.7109375" style="4" bestFit="1" customWidth="1"/>
    <col min="22" max="22" width="11.7109375" style="89" bestFit="1" customWidth="1"/>
    <col min="23" max="23" width="9.140625" style="4" customWidth="1"/>
    <col min="24" max="24" width="11.7109375" style="4" bestFit="1" customWidth="1"/>
    <col min="25" max="59" width="9.140625" style="4" customWidth="1"/>
  </cols>
  <sheetData>
    <row r="2" ht="12.75">
      <c r="P2">
        <f>214291.85-203991.85</f>
        <v>10300</v>
      </c>
    </row>
    <row r="3" spans="2:19" ht="15.75">
      <c r="B3" s="20" t="s">
        <v>117</v>
      </c>
      <c r="C3" s="21"/>
      <c r="D3" s="21"/>
      <c r="E3" s="21"/>
      <c r="F3" s="22"/>
      <c r="G3" s="22"/>
      <c r="H3" s="23"/>
      <c r="I3" s="21"/>
      <c r="J3" s="21"/>
      <c r="K3" s="21"/>
      <c r="L3" s="21"/>
      <c r="M3" s="21"/>
      <c r="N3" s="21"/>
      <c r="O3" s="21"/>
      <c r="P3" s="21"/>
      <c r="Q3" s="21"/>
      <c r="R3" s="24"/>
      <c r="S3" s="25"/>
    </row>
    <row r="4" spans="1:19" ht="31.5">
      <c r="A4" s="70" t="s">
        <v>0</v>
      </c>
      <c r="B4" s="71" t="s">
        <v>1</v>
      </c>
      <c r="C4" s="72" t="s">
        <v>2</v>
      </c>
      <c r="D4" s="72" t="s">
        <v>3</v>
      </c>
      <c r="E4" s="72" t="s">
        <v>4</v>
      </c>
      <c r="F4" s="72" t="s">
        <v>5</v>
      </c>
      <c r="G4" s="72" t="s">
        <v>95</v>
      </c>
      <c r="H4" s="73" t="s">
        <v>99</v>
      </c>
      <c r="I4" s="72" t="s">
        <v>100</v>
      </c>
      <c r="J4" s="72" t="s">
        <v>104</v>
      </c>
      <c r="K4" s="72" t="s">
        <v>101</v>
      </c>
      <c r="L4" s="72" t="s">
        <v>102</v>
      </c>
      <c r="M4" s="72" t="s">
        <v>107</v>
      </c>
      <c r="N4" s="72" t="s">
        <v>105</v>
      </c>
      <c r="O4" s="72" t="s">
        <v>103</v>
      </c>
      <c r="P4" s="72" t="s">
        <v>106</v>
      </c>
      <c r="Q4" s="72" t="s">
        <v>109</v>
      </c>
      <c r="R4" s="74" t="s">
        <v>92</v>
      </c>
      <c r="S4" s="73" t="s">
        <v>108</v>
      </c>
    </row>
    <row r="5" spans="1:24" ht="15.75">
      <c r="A5" s="75">
        <v>1</v>
      </c>
      <c r="B5" s="76" t="s">
        <v>6</v>
      </c>
      <c r="C5" s="26">
        <f>37761.52+6387.6+3805.11+926.96</f>
        <v>48881.189999999995</v>
      </c>
      <c r="D5" s="26">
        <f>43846.86+5945.89+3656.82+506.2</f>
        <v>53955.77</v>
      </c>
      <c r="E5" s="26">
        <f>54454.35+3725.36+3720.67+559.87</f>
        <v>62460.25</v>
      </c>
      <c r="F5" s="26">
        <f>1810.8+336.12+397.24+66.39</f>
        <v>2610.5499999999997</v>
      </c>
      <c r="G5" s="26">
        <f>5535.18+539.93+450.66+35.8</f>
        <v>6561.570000000001</v>
      </c>
      <c r="H5" s="27">
        <v>1732.99</v>
      </c>
      <c r="I5" s="26"/>
      <c r="J5" s="26">
        <v>952.23</v>
      </c>
      <c r="K5" s="26">
        <v>5357.96</v>
      </c>
      <c r="L5" s="26">
        <v>24953.1</v>
      </c>
      <c r="M5" s="26"/>
      <c r="N5" s="26">
        <v>11957.7</v>
      </c>
      <c r="O5" s="26"/>
      <c r="P5" s="26">
        <v>9278.72</v>
      </c>
      <c r="Q5" s="77">
        <f>H5+I5+J5+K5+L5+M5+N5+O5+P5</f>
        <v>54232.7</v>
      </c>
      <c r="R5" s="78">
        <f>C5+D5+E5+F5+G5+H5+I5+J5+K5+L5+M5+N5+O5+P5</f>
        <v>228702.03</v>
      </c>
      <c r="S5" s="79">
        <f>R5-Q5</f>
        <v>174469.33000000002</v>
      </c>
      <c r="T5" s="96">
        <f>R5+PENS!E7+DIABET!C6+INS!C7+MIXT!E6+TESTE!C7+TESTE!D7+'COST VOLUM ONCO'!C6+ONCO!C6+POSTT!C6+SCLEROZ!C6+'CV UNICE'!C6+MUCOV!C6+MUCOV!D6</f>
        <v>504087.21</v>
      </c>
      <c r="U5" s="82">
        <f>R5+PENS!C7</f>
        <v>235594.9</v>
      </c>
      <c r="V5" s="84"/>
      <c r="X5" s="82"/>
    </row>
    <row r="6" spans="1:24" ht="15.75">
      <c r="A6" s="75">
        <v>2</v>
      </c>
      <c r="B6" s="76" t="s">
        <v>7</v>
      </c>
      <c r="C6" s="26">
        <f>8444.96+6679.08</f>
        <v>15124.039999999999</v>
      </c>
      <c r="D6" s="26">
        <f>12749.44+7170.59</f>
        <v>19920.03</v>
      </c>
      <c r="E6" s="26">
        <f>4114.44+4900.25</f>
        <v>9014.689999999999</v>
      </c>
      <c r="F6" s="26">
        <f>562.22+157.45</f>
        <v>719.6700000000001</v>
      </c>
      <c r="G6" s="26">
        <f>1565.38+1097.7</f>
        <v>2663.08</v>
      </c>
      <c r="H6" s="27">
        <v>2976.16</v>
      </c>
      <c r="I6" s="26"/>
      <c r="J6" s="26"/>
      <c r="K6" s="26"/>
      <c r="L6" s="26">
        <v>2678.98</v>
      </c>
      <c r="M6" s="26"/>
      <c r="N6" s="26">
        <v>3299.87</v>
      </c>
      <c r="O6" s="26"/>
      <c r="P6" s="26"/>
      <c r="Q6" s="77">
        <f aca="true" t="shared" si="0" ref="Q6:Q43">H6+I6+J6+K6+L6+M6+N6+O6+P6</f>
        <v>8955.009999999998</v>
      </c>
      <c r="R6" s="78">
        <f>C6+D6+E6+F6+G6+H6+I6+J6+K6+L6+M6+N6+O6+P6</f>
        <v>56396.520000000004</v>
      </c>
      <c r="S6" s="79">
        <f aca="true" t="shared" si="1" ref="S6:S42">R6-Q6</f>
        <v>47441.51000000001</v>
      </c>
      <c r="T6" s="96">
        <f>R6+PENS!E8+DIABET!C7+INS!C8+MIXT!E7+TESTE!C8+TESTE!D8+'COST VOLUM ONCO'!C7+ONCO!C7+POSTT!C7+SCLEROZ!C7+'CV UNICE'!C7+MUCOV!C7+MUCOV!D7</f>
        <v>104849.07</v>
      </c>
      <c r="U6" s="82">
        <f>R6+PENS!C8</f>
        <v>60211.72</v>
      </c>
      <c r="V6" s="84"/>
      <c r="X6" s="82"/>
    </row>
    <row r="7" spans="1:24" ht="15.75">
      <c r="A7" s="75">
        <v>3</v>
      </c>
      <c r="B7" s="76" t="s">
        <v>8</v>
      </c>
      <c r="C7" s="26">
        <f>6730.57+3562.13+6997.97+9714.64+2904.78</f>
        <v>29910.09</v>
      </c>
      <c r="D7" s="26">
        <f>10824.2+3283.44+6404.55+10159.95+1628.55</f>
        <v>32300.690000000002</v>
      </c>
      <c r="E7" s="26">
        <f>3230.82+2656.86+1402.04+5582.49+101.11</f>
        <v>12973.32</v>
      </c>
      <c r="F7" s="26">
        <f>1747.74+893.9+844.49+1391.44+2833.56</f>
        <v>7711.129999999999</v>
      </c>
      <c r="G7" s="26">
        <f>1140.7+380.8+490.59+936.51+142.53</f>
        <v>3091.13</v>
      </c>
      <c r="H7" s="27"/>
      <c r="I7" s="26"/>
      <c r="J7" s="26"/>
      <c r="K7" s="26"/>
      <c r="L7" s="26"/>
      <c r="M7" s="26"/>
      <c r="N7" s="26"/>
      <c r="O7" s="26"/>
      <c r="P7" s="26"/>
      <c r="Q7" s="77">
        <f t="shared" si="0"/>
        <v>0</v>
      </c>
      <c r="R7" s="78">
        <f>C7+D7+E7+F7+G7+H7+I7+J7+K7+L7+M7+N7+O7+P7</f>
        <v>85986.36000000002</v>
      </c>
      <c r="S7" s="79">
        <f t="shared" si="1"/>
        <v>85986.36000000002</v>
      </c>
      <c r="T7" s="96">
        <f>R7+PENS!E9+DIABET!C8+INS!C9+MIXT!E8+TESTE!C9+TESTE!D9+'COST VOLUM ONCO'!C8+ONCO!C8+POSTT!C8+SCLEROZ!C8+'CV UNICE'!C8+MUCOV!C8+MUCOV!D8</f>
        <v>100056.88000000002</v>
      </c>
      <c r="U7" s="82">
        <f>R7+PENS!C9</f>
        <v>89815.59000000001</v>
      </c>
      <c r="V7" s="84"/>
      <c r="X7" s="82"/>
    </row>
    <row r="8" spans="1:24" ht="15.75">
      <c r="A8" s="75">
        <v>4</v>
      </c>
      <c r="B8" s="76" t="s">
        <v>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7"/>
      <c r="I8" s="26"/>
      <c r="J8" s="26"/>
      <c r="K8" s="26"/>
      <c r="L8" s="26"/>
      <c r="M8" s="26"/>
      <c r="N8" s="26"/>
      <c r="O8" s="26"/>
      <c r="P8" s="26"/>
      <c r="Q8" s="77">
        <f t="shared" si="0"/>
        <v>0</v>
      </c>
      <c r="R8" s="78">
        <f>C8+D8+E8+F8+G8+H8+I8+J8+K8+L8+M8+N8+O8+P8</f>
        <v>0</v>
      </c>
      <c r="S8" s="79">
        <f t="shared" si="1"/>
        <v>0</v>
      </c>
      <c r="T8" s="101">
        <f>R8+PENS!E10+DIABET!C9+INS!C10+MIXT!E9+TESTE!C10+TESTE!D10+'COST VOLUM ONCO'!C9+ONCO!C9+POSTT!C9+SCLEROZ!C9+'CV UNICE'!C9+MUCOV!C9+MUCOV!D9</f>
        <v>0</v>
      </c>
      <c r="U8" s="82">
        <f>R8+PENS!C10</f>
        <v>0</v>
      </c>
      <c r="V8" s="88"/>
      <c r="X8" s="82"/>
    </row>
    <row r="9" spans="1:24" ht="15.75">
      <c r="A9" s="75">
        <v>5</v>
      </c>
      <c r="B9" s="76" t="s">
        <v>10</v>
      </c>
      <c r="C9" s="26">
        <f>5540.61+7073.86+4331.27</f>
        <v>16945.739999999998</v>
      </c>
      <c r="D9" s="26">
        <f>5528.32+7596.98+5309</f>
        <v>18434.3</v>
      </c>
      <c r="E9" s="26">
        <f>4292.24+4335.65+2129.83</f>
        <v>10757.72</v>
      </c>
      <c r="F9" s="26">
        <f>760.21+425.39+149.68</f>
        <v>1335.28</v>
      </c>
      <c r="G9" s="26">
        <f>1786.7+991.16+575.44</f>
        <v>3353.3</v>
      </c>
      <c r="H9" s="27"/>
      <c r="I9" s="26"/>
      <c r="J9" s="26"/>
      <c r="K9" s="26"/>
      <c r="L9" s="26"/>
      <c r="M9" s="26"/>
      <c r="N9" s="26"/>
      <c r="O9" s="26"/>
      <c r="P9" s="26"/>
      <c r="Q9" s="77">
        <f t="shared" si="0"/>
        <v>0</v>
      </c>
      <c r="R9" s="78">
        <f>C9+D9+E9+F9+G9+H9+I9+J9+K9+L9+M9+N9+O9+P9</f>
        <v>50826.34</v>
      </c>
      <c r="S9" s="79">
        <f t="shared" si="1"/>
        <v>50826.34</v>
      </c>
      <c r="T9" s="96">
        <f>R9+PENS!E11+DIABET!C10+INS!C11+MIXT!E10+TESTE!C11+TESTE!D11+'COST VOLUM ONCO'!C10+ONCO!C10+POSTT!C10+SCLEROZ!C10+'CV UNICE'!C10+MUCOV!C10+MUCOV!D10</f>
        <v>63326.11</v>
      </c>
      <c r="U9" s="82">
        <f>R9+PENS!C11</f>
        <v>55276.64</v>
      </c>
      <c r="V9" s="84"/>
      <c r="X9" s="82"/>
    </row>
    <row r="10" spans="1:24" ht="15.75">
      <c r="A10" s="75">
        <v>6</v>
      </c>
      <c r="B10" s="76" t="s">
        <v>11</v>
      </c>
      <c r="C10" s="26">
        <f>19659.3</f>
        <v>19659.3</v>
      </c>
      <c r="D10" s="26">
        <v>28369.42</v>
      </c>
      <c r="E10" s="26">
        <v>38454.26</v>
      </c>
      <c r="F10" s="27">
        <v>1030.09</v>
      </c>
      <c r="G10" s="26">
        <v>3181.94</v>
      </c>
      <c r="H10" s="27"/>
      <c r="J10" s="26"/>
      <c r="K10" s="26"/>
      <c r="L10" s="26"/>
      <c r="M10" s="26"/>
      <c r="N10" s="26"/>
      <c r="O10" s="26"/>
      <c r="P10" s="26"/>
      <c r="Q10" s="77">
        <f t="shared" si="0"/>
        <v>0</v>
      </c>
      <c r="R10" s="78">
        <f>C10+D10+E10+F10+G10+H10+I10+J10+K10+L10+M10+N10+O10+P10</f>
        <v>90695.01000000001</v>
      </c>
      <c r="S10" s="79">
        <f t="shared" si="1"/>
        <v>90695.01000000001</v>
      </c>
      <c r="T10" s="96">
        <f>R10+PENS!E12+DIABET!C11+INS!C12+MIXT!E11+TESTE!C12+TESTE!D12+'COST VOLUM ONCO'!C11+ONCO!C11+POSTT!C11+SCLEROZ!C11+'CV UNICE'!C11+MUCOV!C11+MUCOV!D11</f>
        <v>136369.55000000002</v>
      </c>
      <c r="U10" s="82">
        <f>R10+PENS!C12</f>
        <v>91894.94</v>
      </c>
      <c r="V10" s="84"/>
      <c r="X10" s="82"/>
    </row>
    <row r="11" spans="1:24" ht="15.75">
      <c r="A11" s="75">
        <v>7</v>
      </c>
      <c r="B11" s="76" t="s">
        <v>12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7"/>
      <c r="I11" s="26"/>
      <c r="J11" s="26"/>
      <c r="K11" s="26"/>
      <c r="L11" s="26"/>
      <c r="M11" s="26"/>
      <c r="N11" s="26"/>
      <c r="O11" s="26"/>
      <c r="P11" s="26"/>
      <c r="Q11" s="77">
        <f t="shared" si="0"/>
        <v>0</v>
      </c>
      <c r="R11" s="78">
        <f>C11+D11+E11+F11+G11+H11+I11+J11+K11+L11+M11+N11+O11+P11</f>
        <v>0</v>
      </c>
      <c r="S11" s="79">
        <f t="shared" si="1"/>
        <v>0</v>
      </c>
      <c r="T11" s="101">
        <f>R11+PENS!E13+DIABET!C12+INS!C13+MIXT!E12+TESTE!C13+TESTE!D13+'COST VOLUM ONCO'!C12+ONCO!C12+POSTT!C12+SCLEROZ!C12+'CV UNICE'!C12+MUCOV!C12+MUCOV!D12</f>
        <v>0</v>
      </c>
      <c r="U11" s="82">
        <f>R11+PENS!C13</f>
        <v>0</v>
      </c>
      <c r="V11" s="88"/>
      <c r="X11" s="82"/>
    </row>
    <row r="12" spans="1:26" ht="15.75">
      <c r="A12" s="75">
        <v>8</v>
      </c>
      <c r="B12" s="76" t="s">
        <v>13</v>
      </c>
      <c r="C12" s="26">
        <f>14979+13809.71+4786.79+8396.29+13966.7</f>
        <v>55938.490000000005</v>
      </c>
      <c r="D12" s="26">
        <f>18603.67+14615.42+4625.69+5218.59+19196.78</f>
        <v>62260.149999999994</v>
      </c>
      <c r="E12" s="26">
        <f>27537.93+7816.06+5989.29+3709.66+71286.96</f>
        <v>116339.90000000001</v>
      </c>
      <c r="F12" s="26">
        <f>616.83+1814.67+103.37+970.88+1413.95</f>
        <v>4919.7</v>
      </c>
      <c r="G12" s="26">
        <f>2253.66+1255.21+477.25+531.15+1476.8</f>
        <v>5994.07</v>
      </c>
      <c r="H12" s="27">
        <f>1189.14+247.57</f>
        <v>1436.71</v>
      </c>
      <c r="I12" s="26"/>
      <c r="J12" s="26"/>
      <c r="K12" s="26">
        <v>7737.05</v>
      </c>
      <c r="L12" s="26">
        <f>3260.32+10511.84</f>
        <v>13772.16</v>
      </c>
      <c r="M12" s="26">
        <v>2678.98</v>
      </c>
      <c r="N12" s="26">
        <f>2678.98+2678.98</f>
        <v>5357.96</v>
      </c>
      <c r="O12" s="26"/>
      <c r="P12" s="26"/>
      <c r="Q12" s="77">
        <f t="shared" si="0"/>
        <v>30982.859999999997</v>
      </c>
      <c r="R12" s="78">
        <f>C12+D12+E12+F12+G12+H12+I12+J12+K12+L12+M12+N12+O12+P12</f>
        <v>276435.17</v>
      </c>
      <c r="S12" s="79">
        <f t="shared" si="1"/>
        <v>245452.31</v>
      </c>
      <c r="T12" s="96">
        <f>R12+PENS!E14+DIABET!C13+INS!C14+MIXT!E13+TESTE!C14+TESTE!D14+'COST VOLUM ONCO'!C13+ONCO!C13+POSTT!C13+SCLEROZ!C13+'CV UNICE'!C13+MUCOV!C13+MUCOV!D13</f>
        <v>393914.54</v>
      </c>
      <c r="U12" s="82">
        <f>R12+PENS!C14</f>
        <v>282250.45999999996</v>
      </c>
      <c r="V12" s="84"/>
      <c r="X12" s="82"/>
      <c r="Z12" s="97"/>
    </row>
    <row r="13" spans="1:24" ht="15.75">
      <c r="A13" s="75">
        <v>9</v>
      </c>
      <c r="B13" s="76" t="s">
        <v>112</v>
      </c>
      <c r="C13" s="26">
        <f>14824.2+14481.98+7158.78+6543.21+6238.64+2547.91+4366.42</f>
        <v>56161.14</v>
      </c>
      <c r="D13" s="26">
        <f>20063.17+17882.68+8433.95+8283.04+7020.95+2049.33+4271.4</f>
        <v>68004.52</v>
      </c>
      <c r="E13" s="26">
        <f>14530.62+16254.62+3828.82+5297.92+5979.82+1027+2823.21</f>
        <v>49742.01</v>
      </c>
      <c r="F13" s="26">
        <f>1065+1549.73+988.46+612.12+664.13+51.35+1299.44</f>
        <v>6230.230000000001</v>
      </c>
      <c r="G13" s="26">
        <f>2788.69+1662.75+989.65+896.21+1069.72+273.84+548.14</f>
        <v>8229</v>
      </c>
      <c r="H13" s="27">
        <v>742.71</v>
      </c>
      <c r="I13" s="26"/>
      <c r="J13" s="26"/>
      <c r="K13" s="26">
        <f>5357.96+2678.98</f>
        <v>8036.9400000000005</v>
      </c>
      <c r="L13" s="26"/>
      <c r="M13" s="26"/>
      <c r="N13" s="26">
        <v>2678.98</v>
      </c>
      <c r="O13" s="26"/>
      <c r="P13" s="26"/>
      <c r="Q13" s="77">
        <f t="shared" si="0"/>
        <v>11458.630000000001</v>
      </c>
      <c r="R13" s="78">
        <f>C13+D13+E13+F13+G13+H13+I13+J13+K13+L13+M13+N13+O13+P13</f>
        <v>199825.53000000003</v>
      </c>
      <c r="S13" s="79">
        <f t="shared" si="1"/>
        <v>188366.90000000002</v>
      </c>
      <c r="T13" s="96">
        <f>R13+PENS!E15+DIABET!C14+INS!C15+MIXT!E14+TESTE!C15+TESTE!D15+'COST VOLUM ONCO'!C14+ONCO!C14+POSTT!C14+SCLEROZ!C14+'CV UNICE'!C14+MUCOV!C14+MUCOV!D14</f>
        <v>281852.20000000007</v>
      </c>
      <c r="U13" s="82">
        <f>R13+PENS!C15</f>
        <v>208285.70000000004</v>
      </c>
      <c r="V13" s="84"/>
      <c r="X13" s="82"/>
    </row>
    <row r="14" spans="1:24" ht="15.75">
      <c r="A14" s="75">
        <v>10</v>
      </c>
      <c r="B14" s="76" t="s">
        <v>14</v>
      </c>
      <c r="C14" s="26">
        <v>14986.83</v>
      </c>
      <c r="D14" s="26">
        <v>46638.87</v>
      </c>
      <c r="E14" s="26">
        <v>36224.85</v>
      </c>
      <c r="F14" s="26">
        <v>731.32</v>
      </c>
      <c r="G14" s="26">
        <v>1393.82</v>
      </c>
      <c r="H14" s="27">
        <v>1387.98</v>
      </c>
      <c r="I14" s="26">
        <v>247.57</v>
      </c>
      <c r="J14" s="26"/>
      <c r="K14" s="26">
        <v>3868.52</v>
      </c>
      <c r="L14" s="26">
        <v>14129.65</v>
      </c>
      <c r="M14" s="26"/>
      <c r="N14" s="26">
        <v>5939.3</v>
      </c>
      <c r="O14" s="26"/>
      <c r="P14" s="26"/>
      <c r="Q14" s="77">
        <f t="shared" si="0"/>
        <v>25573.02</v>
      </c>
      <c r="R14" s="78">
        <f>C14+D14+E14+F14+G14+H14+I14+J14+K14+L14+M14+N14+O14+P14</f>
        <v>125548.71000000002</v>
      </c>
      <c r="S14" s="79">
        <f t="shared" si="1"/>
        <v>99975.69000000002</v>
      </c>
      <c r="T14" s="96">
        <f>R14+PENS!E16+DIABET!C15+INS!C16+MIXT!E15+TESTE!C16+TESTE!D16+'COST VOLUM ONCO'!C15+ONCO!C15+POSTT!C15+SCLEROZ!C15+'CV UNICE'!C15+MUCOV!C15+MUCOV!D15</f>
        <v>428004.38000000006</v>
      </c>
      <c r="U14" s="82">
        <f>R14+PENS!C16</f>
        <v>126041.89000000001</v>
      </c>
      <c r="V14" s="84"/>
      <c r="X14" s="82"/>
    </row>
    <row r="15" spans="1:24" ht="15.75">
      <c r="A15" s="75">
        <v>11</v>
      </c>
      <c r="B15" s="76" t="s">
        <v>15</v>
      </c>
      <c r="C15" s="26">
        <f>10585.17+1685.84+9076.26</f>
        <v>21347.27</v>
      </c>
      <c r="D15" s="28">
        <f>15608.38+1801.83+14403.47</f>
        <v>31813.68</v>
      </c>
      <c r="E15" s="26">
        <f>20823.04+948.47+5813.59</f>
        <v>27585.100000000002</v>
      </c>
      <c r="F15" s="26">
        <f>828.83+120.63+928.82</f>
        <v>1878.2800000000002</v>
      </c>
      <c r="G15" s="26">
        <f>1844.95+200.16+1429.12</f>
        <v>3474.23</v>
      </c>
      <c r="H15" s="27">
        <v>247.57</v>
      </c>
      <c r="I15" s="26"/>
      <c r="J15" s="26"/>
      <c r="K15" s="26"/>
      <c r="L15" s="26"/>
      <c r="M15" s="26"/>
      <c r="N15" s="26"/>
      <c r="O15" s="26"/>
      <c r="P15" s="26"/>
      <c r="Q15" s="77">
        <f t="shared" si="0"/>
        <v>247.57</v>
      </c>
      <c r="R15" s="78">
        <f>C15+D15+E15+F15+G15+H15+I15+J15+K15+L15+M15+N15+O15+P15</f>
        <v>86346.13</v>
      </c>
      <c r="S15" s="79">
        <f t="shared" si="1"/>
        <v>86098.56</v>
      </c>
      <c r="T15" s="96">
        <f>R15+PENS!E17+DIABET!C16+INS!C17+MIXT!E16+TESTE!C17+TESTE!D17+'COST VOLUM ONCO'!C16+ONCO!C16+POSTT!C16+SCLEROZ!C16+'CV UNICE'!C16+MUCOV!C16+MUCOV!D16</f>
        <v>175863.64</v>
      </c>
      <c r="U15" s="82">
        <f>R15+PENS!C17</f>
        <v>89637.13</v>
      </c>
      <c r="V15" s="84"/>
      <c r="X15" s="82"/>
    </row>
    <row r="16" spans="1:24" ht="15.75">
      <c r="A16" s="75">
        <v>12</v>
      </c>
      <c r="B16" s="76" t="s">
        <v>16</v>
      </c>
      <c r="C16" s="26">
        <f>18207.72+20405.52+24746.41</f>
        <v>63359.65000000001</v>
      </c>
      <c r="D16" s="26">
        <f>21007.05+18415.55+33032.96</f>
        <v>72455.56</v>
      </c>
      <c r="E16" s="26">
        <f>9257.92+12281.17+16935.49</f>
        <v>38474.58</v>
      </c>
      <c r="F16" s="26">
        <f>1240.38+770.69+1480.44</f>
        <v>3491.51</v>
      </c>
      <c r="G16" s="26">
        <f>2725.45+1924.56+2997.91</f>
        <v>7647.92</v>
      </c>
      <c r="H16" s="27">
        <f>247.57+247.57+247.57</f>
        <v>742.71</v>
      </c>
      <c r="I16" s="26"/>
      <c r="J16" s="26"/>
      <c r="K16" s="26">
        <f>2678.98</f>
        <v>2678.98</v>
      </c>
      <c r="L16" s="26">
        <f>5357.96+12578.59</f>
        <v>17936.55</v>
      </c>
      <c r="M16" s="26"/>
      <c r="N16" s="26">
        <f>5357.96+15196.26</f>
        <v>20554.22</v>
      </c>
      <c r="O16" s="26">
        <v>1815.63</v>
      </c>
      <c r="P16" s="26"/>
      <c r="Q16" s="77">
        <f t="shared" si="0"/>
        <v>43728.09</v>
      </c>
      <c r="R16" s="78">
        <f>C16+D16+E16+F16+G16+H16+I16+J16+K16+L16+M16+N16+O16+P16</f>
        <v>229157.31000000006</v>
      </c>
      <c r="S16" s="79">
        <f t="shared" si="1"/>
        <v>185429.22000000006</v>
      </c>
      <c r="T16" s="96">
        <f>R16+PENS!E18+DIABET!C17+INS!C18+MIXT!E17+TESTE!C18+TESTE!D18+'COST VOLUM ONCO'!C17+ONCO!C17+POSTT!C17+SCLEROZ!C17+'CV UNICE'!C17+MUCOV!C17+MUCOV!D17</f>
        <v>356283.4600000001</v>
      </c>
      <c r="U16" s="82">
        <f>R16+PENS!C18</f>
        <v>238483.65000000005</v>
      </c>
      <c r="V16" s="84"/>
      <c r="X16" s="82"/>
    </row>
    <row r="17" spans="1:24" ht="15.75">
      <c r="A17" s="75">
        <v>13</v>
      </c>
      <c r="B17" s="76" t="s">
        <v>17</v>
      </c>
      <c r="C17" s="26">
        <v>29660.91</v>
      </c>
      <c r="D17" s="26">
        <v>33301.19</v>
      </c>
      <c r="E17" s="26">
        <v>20067.91</v>
      </c>
      <c r="F17" s="26">
        <v>2713.74</v>
      </c>
      <c r="G17" s="26">
        <v>3403.13</v>
      </c>
      <c r="H17" s="27">
        <v>2976.16</v>
      </c>
      <c r="I17" s="26"/>
      <c r="J17" s="26"/>
      <c r="K17" s="26"/>
      <c r="L17" s="26"/>
      <c r="M17" s="26"/>
      <c r="N17" s="26"/>
      <c r="O17" s="26"/>
      <c r="P17" s="26"/>
      <c r="Q17" s="77">
        <f t="shared" si="0"/>
        <v>2976.16</v>
      </c>
      <c r="R17" s="78">
        <f>C17+D17+E17+F17+G17+H17+I17+J17+K17+L17+M17+N17+O17+P17</f>
        <v>92123.04000000002</v>
      </c>
      <c r="S17" s="79">
        <f t="shared" si="1"/>
        <v>89146.88000000002</v>
      </c>
      <c r="T17" s="96">
        <f>R17+PENS!E19+DIABET!C18+INS!C19+MIXT!E18+TESTE!C19+TESTE!D19+'COST VOLUM ONCO'!C18+ONCO!C18+POSTT!C18+SCLEROZ!C18+'CV UNICE'!C18+MUCOV!C18+MUCOV!D18</f>
        <v>126385.87000000002</v>
      </c>
      <c r="U17" s="82">
        <f>R17+PENS!C19</f>
        <v>96536.97000000003</v>
      </c>
      <c r="V17" s="84"/>
      <c r="X17" s="82"/>
    </row>
    <row r="18" spans="1:25" ht="15.75">
      <c r="A18" s="75">
        <v>14</v>
      </c>
      <c r="B18" s="76" t="s">
        <v>18</v>
      </c>
      <c r="C18" s="26">
        <v>19987.91</v>
      </c>
      <c r="D18" s="26">
        <v>13556.09</v>
      </c>
      <c r="E18" s="26">
        <v>6321.27</v>
      </c>
      <c r="F18" s="26">
        <v>2306.03</v>
      </c>
      <c r="G18" s="26">
        <v>1742.71</v>
      </c>
      <c r="H18" s="27"/>
      <c r="I18" s="26"/>
      <c r="J18" s="26"/>
      <c r="K18" s="26"/>
      <c r="L18" s="26"/>
      <c r="M18" s="26"/>
      <c r="N18" s="26"/>
      <c r="O18" s="26"/>
      <c r="P18" s="26"/>
      <c r="Q18" s="77">
        <f t="shared" si="0"/>
        <v>0</v>
      </c>
      <c r="R18" s="78">
        <f>C18+D18+E18+F18+G18+H18+I18+J18+K18+L18+M18+N18+O18+P18</f>
        <v>43914.01</v>
      </c>
      <c r="S18" s="79">
        <f t="shared" si="1"/>
        <v>43914.01</v>
      </c>
      <c r="T18" s="96">
        <f>R18+PENS!E20+DIABET!C19+INS!C20+MIXT!E19+TESTE!C20+TESTE!D20+'COST VOLUM ONCO'!C19+ONCO!C19+POSTT!C19+SCLEROZ!C19+'CV UNICE'!C19+MUCOV!C19+MUCOV!D19</f>
        <v>59563.67</v>
      </c>
      <c r="U18" s="82">
        <f>R18+PENS!C20</f>
        <v>44770.08</v>
      </c>
      <c r="V18" s="84"/>
      <c r="W18" s="12"/>
      <c r="X18" s="82"/>
      <c r="Y18" s="12"/>
    </row>
    <row r="19" spans="1:24" ht="15.75">
      <c r="A19" s="75">
        <v>15</v>
      </c>
      <c r="B19" s="76" t="s">
        <v>19</v>
      </c>
      <c r="C19" s="26">
        <f>39191.49+14545.44</f>
        <v>53736.93</v>
      </c>
      <c r="D19" s="26">
        <f>27265.29+11840.32</f>
        <v>39105.61</v>
      </c>
      <c r="E19" s="26">
        <f>17851.24+11125.19</f>
        <v>28976.43</v>
      </c>
      <c r="F19" s="26">
        <f>11115.2+1752.6</f>
        <v>12867.800000000001</v>
      </c>
      <c r="G19" s="26">
        <f>3444.25+765.24</f>
        <v>4209.49</v>
      </c>
      <c r="H19" s="27"/>
      <c r="I19" s="26"/>
      <c r="J19" s="26"/>
      <c r="K19" s="26"/>
      <c r="L19" s="26"/>
      <c r="M19" s="26"/>
      <c r="N19" s="26"/>
      <c r="O19" s="26"/>
      <c r="P19" s="26"/>
      <c r="Q19" s="77">
        <f t="shared" si="0"/>
        <v>0</v>
      </c>
      <c r="R19" s="78">
        <f>C19+D19+E19+F19+G19+H19+I19+J19+K19+L19+M19+N19+O19+P19</f>
        <v>138896.25999999998</v>
      </c>
      <c r="S19" s="79">
        <f t="shared" si="1"/>
        <v>138896.25999999998</v>
      </c>
      <c r="T19" s="96">
        <f>R19+PENS!E21+DIABET!C20+INS!C21+MIXT!E20+TESTE!C21+TESTE!D21+'COST VOLUM ONCO'!C20+ONCO!C20+POSTT!C20+SCLEROZ!C20+'CV UNICE'!C20+MUCOV!C20+MUCOV!D20</f>
        <v>224005.05</v>
      </c>
      <c r="U19" s="82">
        <f>R19+PENS!C21</f>
        <v>142510.86</v>
      </c>
      <c r="V19" s="84"/>
      <c r="X19" s="82"/>
    </row>
    <row r="20" spans="1:24" ht="15.75">
      <c r="A20" s="75">
        <v>16</v>
      </c>
      <c r="B20" s="76" t="s">
        <v>20</v>
      </c>
      <c r="C20" s="26">
        <f>11125.98+4178.92</f>
        <v>15304.9</v>
      </c>
      <c r="D20" s="26">
        <f>12342.89+3185.86</f>
        <v>15528.75</v>
      </c>
      <c r="E20" s="26">
        <f>4637.51+1953.36</f>
        <v>6590.87</v>
      </c>
      <c r="F20" s="26">
        <f>1076.92+472.84</f>
        <v>1549.76</v>
      </c>
      <c r="G20" s="26">
        <f>2103.75+451.31</f>
        <v>2555.06</v>
      </c>
      <c r="H20" s="29"/>
      <c r="I20" s="26"/>
      <c r="J20" s="26"/>
      <c r="K20" s="26"/>
      <c r="L20" s="26"/>
      <c r="M20" s="26"/>
      <c r="N20" s="26"/>
      <c r="O20" s="26"/>
      <c r="P20" s="26"/>
      <c r="Q20" s="77">
        <f t="shared" si="0"/>
        <v>0</v>
      </c>
      <c r="R20" s="78">
        <f>C20+D20+E20+F20+G20+H20+I20+J20+K20+L20+M20+N20+O20+P20</f>
        <v>41529.340000000004</v>
      </c>
      <c r="S20" s="79">
        <f t="shared" si="1"/>
        <v>41529.340000000004</v>
      </c>
      <c r="T20" s="96">
        <f>R20+PENS!E22+DIABET!C21+INS!C22+MIXT!E21+TESTE!C22+TESTE!D22+'COST VOLUM ONCO'!C21+ONCO!C21+POSTT!C21+SCLEROZ!C21+'CV UNICE'!C21+MUCOV!C21+MUCOV!D21</f>
        <v>50072.030000000006</v>
      </c>
      <c r="U20" s="82">
        <f>R20+PENS!C22</f>
        <v>45807.26</v>
      </c>
      <c r="V20" s="84"/>
      <c r="X20" s="82"/>
    </row>
    <row r="21" spans="1:24" ht="15.75">
      <c r="A21" s="75">
        <v>17</v>
      </c>
      <c r="B21" s="76" t="s">
        <v>21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7"/>
      <c r="I21" s="26"/>
      <c r="J21" s="26"/>
      <c r="K21" s="26"/>
      <c r="L21" s="26"/>
      <c r="M21" s="26"/>
      <c r="N21" s="26"/>
      <c r="O21" s="26"/>
      <c r="P21" s="26"/>
      <c r="Q21" s="77">
        <f t="shared" si="0"/>
        <v>0</v>
      </c>
      <c r="R21" s="78">
        <f>C21+D21+E21+F21+G21+H21+I21+J21+K21+L21+M21+N21+O21+P21</f>
        <v>0</v>
      </c>
      <c r="S21" s="79">
        <f t="shared" si="1"/>
        <v>0</v>
      </c>
      <c r="T21" s="101">
        <f>R21+PENS!E23+DIABET!C22+INS!C23+MIXT!E22+TESTE!C23+TESTE!D23+'COST VOLUM ONCO'!C22+ONCO!C22+POSTT!C22+SCLEROZ!C22+'CV UNICE'!C22+MUCOV!C22+MUCOV!D22</f>
        <v>0</v>
      </c>
      <c r="U21" s="82">
        <f>R21+PENS!C23</f>
        <v>0</v>
      </c>
      <c r="V21" s="88"/>
      <c r="X21" s="82"/>
    </row>
    <row r="22" spans="1:24" ht="15.75">
      <c r="A22" s="75">
        <v>18</v>
      </c>
      <c r="B22" s="76" t="s">
        <v>22</v>
      </c>
      <c r="C22" s="26">
        <v>2528.8</v>
      </c>
      <c r="D22" s="26">
        <v>2057.7</v>
      </c>
      <c r="E22" s="26">
        <v>1072.42</v>
      </c>
      <c r="F22" s="87">
        <v>57.36</v>
      </c>
      <c r="G22" s="86">
        <v>293.32</v>
      </c>
      <c r="H22" s="27"/>
      <c r="I22" s="26"/>
      <c r="J22" s="26"/>
      <c r="K22" s="26"/>
      <c r="L22" s="26"/>
      <c r="M22" s="26"/>
      <c r="N22" s="26"/>
      <c r="O22" s="26"/>
      <c r="P22" s="26"/>
      <c r="Q22" s="77">
        <f t="shared" si="0"/>
        <v>0</v>
      </c>
      <c r="R22" s="78">
        <f>C22+D22+E22+F22+G22+H22+I22+J22+K22+L22+M22+N22+O22+P22</f>
        <v>6009.599999999999</v>
      </c>
      <c r="S22" s="79">
        <f t="shared" si="1"/>
        <v>6009.599999999999</v>
      </c>
      <c r="T22" s="96">
        <f>R22+PENS!E24+DIABET!C23+INS!C24+MIXT!E23+TESTE!C24+TESTE!D24+'COST VOLUM ONCO'!C23+ONCO!C23+POSTT!C23+SCLEROZ!C23+'CV UNICE'!C23+MUCOV!C23+MUCOV!D23</f>
        <v>7166.509999999999</v>
      </c>
      <c r="U22" s="82">
        <f>R22+PENS!C24</f>
        <v>6568.49</v>
      </c>
      <c r="V22" s="84"/>
      <c r="X22" s="82"/>
    </row>
    <row r="23" spans="1:24" ht="15.75">
      <c r="A23" s="75">
        <v>19</v>
      </c>
      <c r="B23" s="76" t="s">
        <v>23</v>
      </c>
      <c r="C23" s="26">
        <f>2413.82+3650.52+2018.8+2320.73</f>
        <v>10403.87</v>
      </c>
      <c r="D23" s="26">
        <f>4288.96+3205.42+1473.42+3642.51</f>
        <v>12610.31</v>
      </c>
      <c r="E23" s="26">
        <f>746.68+879.44+1579.81+1083.15</f>
        <v>4289.08</v>
      </c>
      <c r="F23" s="26">
        <f>763.25+438.79+77.13+408.51</f>
        <v>1687.68</v>
      </c>
      <c r="G23" s="26">
        <f>766.85+487.92+167.21+483.08</f>
        <v>1905.06</v>
      </c>
      <c r="H23" s="27"/>
      <c r="I23" s="26"/>
      <c r="J23" s="26"/>
      <c r="K23" s="26"/>
      <c r="L23" s="26"/>
      <c r="M23" s="26"/>
      <c r="N23" s="26"/>
      <c r="O23" s="26"/>
      <c r="P23" s="26"/>
      <c r="Q23" s="77">
        <f t="shared" si="0"/>
        <v>0</v>
      </c>
      <c r="R23" s="78">
        <f>C23+D23+E23+F23+G23+H23+I23+J23+K23+L23+M23+N23+O23+P23</f>
        <v>30896.000000000004</v>
      </c>
      <c r="S23" s="79">
        <f t="shared" si="1"/>
        <v>30896.000000000004</v>
      </c>
      <c r="T23" s="96">
        <f>R23+PENS!E25+DIABET!C24+INS!C25+MIXT!E24+TESTE!C25+TESTE!D25+'COST VOLUM ONCO'!C24+ONCO!C24+POSTT!C24+SCLEROZ!C24+'CV UNICE'!C24+MUCOV!C24+MUCOV!D24</f>
        <v>35694.240000000005</v>
      </c>
      <c r="U23" s="82">
        <f>R23+PENS!C25</f>
        <v>32261.900000000005</v>
      </c>
      <c r="V23" s="84"/>
      <c r="X23" s="82"/>
    </row>
    <row r="24" spans="1:24" ht="15.75">
      <c r="A24" s="75">
        <v>20</v>
      </c>
      <c r="B24" s="76" t="s">
        <v>24</v>
      </c>
      <c r="C24" s="26">
        <v>15930.28</v>
      </c>
      <c r="D24" s="26">
        <v>17700.55</v>
      </c>
      <c r="E24" s="26">
        <v>13627.75</v>
      </c>
      <c r="F24" s="26">
        <v>772.26</v>
      </c>
      <c r="G24" s="26">
        <v>2987.14</v>
      </c>
      <c r="H24" s="27">
        <v>1131.6</v>
      </c>
      <c r="I24" s="26"/>
      <c r="J24" s="26">
        <v>13810.57</v>
      </c>
      <c r="K24" s="26"/>
      <c r="L24" s="26"/>
      <c r="M24" s="26"/>
      <c r="N24" s="26">
        <v>3859.45</v>
      </c>
      <c r="O24" s="26"/>
      <c r="P24" s="26"/>
      <c r="Q24" s="77">
        <f t="shared" si="0"/>
        <v>18801.62</v>
      </c>
      <c r="R24" s="78">
        <f>C24+D24+E24+F24+G24+H24+I24+J24+K24+L24+M24+N24+O24+P24</f>
        <v>69819.59999999999</v>
      </c>
      <c r="S24" s="79">
        <f t="shared" si="1"/>
        <v>51017.979999999996</v>
      </c>
      <c r="T24" s="96">
        <f>R24+PENS!E26+DIABET!C25+INS!C26+MIXT!E25+TESTE!C26+TESTE!D26+'COST VOLUM ONCO'!C25+ONCO!C25+POSTT!C25+SCLEROZ!C25+'CV UNICE'!C25+MUCOV!C25+MUCOV!D25</f>
        <v>91890.72999999998</v>
      </c>
      <c r="U24" s="82">
        <f>R24+PENS!C26</f>
        <v>71994.34</v>
      </c>
      <c r="V24" s="84"/>
      <c r="X24" s="82"/>
    </row>
    <row r="25" spans="1:24" ht="15.75">
      <c r="A25" s="75">
        <v>21</v>
      </c>
      <c r="B25" s="76" t="s">
        <v>25</v>
      </c>
      <c r="C25" s="26">
        <f>15345.56+8073.02+19568.81+3521.87+6191.84+3897.58</f>
        <v>56598.68000000001</v>
      </c>
      <c r="D25" s="26">
        <f>22741.2+7143.28+18403.9+4445.99+3754.24+4487.96</f>
        <v>60976.57</v>
      </c>
      <c r="E25" s="26">
        <f>24056.78+3279.04+14367.49+1003.64+543.67+2279.92</f>
        <v>45530.53999999999</v>
      </c>
      <c r="F25" s="26">
        <f>1158.64+2495.22+1127.47+331.02+6362.86+511.35</f>
        <v>11986.56</v>
      </c>
      <c r="G25" s="26">
        <f>3435.86+627.76+3546.97+489.89+176.92+345.93</f>
        <v>8623.33</v>
      </c>
      <c r="H25" s="27">
        <v>1237.85</v>
      </c>
      <c r="I25" s="26"/>
      <c r="J25" s="26"/>
      <c r="K25" s="26"/>
      <c r="L25" s="26">
        <v>3299.87</v>
      </c>
      <c r="M25" s="26"/>
      <c r="N25" s="26"/>
      <c r="O25" s="26"/>
      <c r="P25" s="26"/>
      <c r="Q25" s="77">
        <f t="shared" si="0"/>
        <v>4537.719999999999</v>
      </c>
      <c r="R25" s="78">
        <f>C25+D25+E25+F25+G25+H25+I25+J25+K25+L25+M25+N25+O25+P25</f>
        <v>188253.39999999997</v>
      </c>
      <c r="S25" s="79">
        <f t="shared" si="1"/>
        <v>183715.67999999996</v>
      </c>
      <c r="T25" s="96">
        <f>R25+PENS!E27+DIABET!C26+INS!C27+MIXT!E26+TESTE!C27+TESTE!D27+'COST VOLUM ONCO'!C26+ONCO!C26+POSTT!C26+SCLEROZ!C26+'CV UNICE'!C26+MUCOV!C26+MUCOV!D26</f>
        <v>317354.98999999993</v>
      </c>
      <c r="U25" s="82">
        <f>R25+PENS!C27</f>
        <v>196366.75999999995</v>
      </c>
      <c r="V25" s="84"/>
      <c r="X25" s="82"/>
    </row>
    <row r="26" spans="1:24" ht="15.75">
      <c r="A26" s="75">
        <v>22</v>
      </c>
      <c r="B26" s="76" t="s">
        <v>26</v>
      </c>
      <c r="C26" s="26">
        <v>6477.32</v>
      </c>
      <c r="D26" s="26">
        <v>4898.26</v>
      </c>
      <c r="E26" s="26">
        <v>3917.15</v>
      </c>
      <c r="F26" s="26">
        <v>577.45</v>
      </c>
      <c r="G26" s="26">
        <v>505.59</v>
      </c>
      <c r="H26" s="27"/>
      <c r="I26" s="26"/>
      <c r="J26" s="26"/>
      <c r="K26" s="26"/>
      <c r="L26" s="26"/>
      <c r="M26" s="26"/>
      <c r="N26" s="26"/>
      <c r="O26" s="26"/>
      <c r="P26" s="26"/>
      <c r="Q26" s="77">
        <f t="shared" si="0"/>
        <v>0</v>
      </c>
      <c r="R26" s="78">
        <f>C26+D26+E26+F26+G26+H26+I26+J26+K26+L26+M26+N26+O26+P26</f>
        <v>16375.77</v>
      </c>
      <c r="S26" s="79">
        <f t="shared" si="1"/>
        <v>16375.77</v>
      </c>
      <c r="T26" s="96">
        <f>R26+PENS!E28+DIABET!C27+INS!C28+MIXT!E27+TESTE!C28+TESTE!D28+'COST VOLUM ONCO'!C27+ONCO!C27+POSTT!C27+SCLEROZ!C27+'CV UNICE'!C27+MUCOV!C27+MUCOV!D27</f>
        <v>19883.35</v>
      </c>
      <c r="U26" s="82">
        <f>R26+PENS!C28</f>
        <v>17005.87</v>
      </c>
      <c r="V26" s="84"/>
      <c r="X26" s="82"/>
    </row>
    <row r="27" spans="1:24" ht="15.75">
      <c r="A27" s="75">
        <v>23</v>
      </c>
      <c r="B27" s="76" t="s">
        <v>27</v>
      </c>
      <c r="C27" s="26">
        <f>6525.63+3103.91</f>
        <v>9629.54</v>
      </c>
      <c r="D27" s="26">
        <f>4906.81+3503.47</f>
        <v>8410.28</v>
      </c>
      <c r="E27" s="26">
        <f>2633.1+2324.89</f>
        <v>4957.99</v>
      </c>
      <c r="F27" s="26">
        <f>1389.28+300.33</f>
        <v>1689.61</v>
      </c>
      <c r="G27" s="26">
        <f>643.7+630.95</f>
        <v>1274.65</v>
      </c>
      <c r="H27" s="27"/>
      <c r="I27" s="26"/>
      <c r="J27" s="26"/>
      <c r="K27" s="26"/>
      <c r="L27" s="26"/>
      <c r="M27" s="26"/>
      <c r="N27" s="26"/>
      <c r="O27" s="26"/>
      <c r="P27" s="26"/>
      <c r="Q27" s="77">
        <f t="shared" si="0"/>
        <v>0</v>
      </c>
      <c r="R27" s="78">
        <f>C27+D27+E27+F27+G27+H27+I27+J27+K27+L27+M27+N27+O27+P27</f>
        <v>25962.07</v>
      </c>
      <c r="S27" s="79">
        <f t="shared" si="1"/>
        <v>25962.07</v>
      </c>
      <c r="T27" s="96">
        <f>R27+PENS!E29+DIABET!C28+INS!C29+MIXT!E28+TESTE!C29+TESTE!D29+'COST VOLUM ONCO'!C28+ONCO!C28+POSTT!C28+SCLEROZ!C28+'CV UNICE'!C28+MUCOV!C28+MUCOV!D28</f>
        <v>31955.03</v>
      </c>
      <c r="U27" s="82">
        <f>R27+PENS!C29</f>
        <v>28529.72</v>
      </c>
      <c r="V27" s="84"/>
      <c r="X27" s="82"/>
    </row>
    <row r="28" spans="1:24" ht="15.75">
      <c r="A28" s="75">
        <v>24</v>
      </c>
      <c r="B28" s="76" t="s">
        <v>28</v>
      </c>
      <c r="C28" s="26">
        <f>12649.57+11679.72+10135.57+8526.61</f>
        <v>42991.47</v>
      </c>
      <c r="D28" s="26">
        <f>15983.15+17502.04+16926.79+12217.56</f>
        <v>62629.54</v>
      </c>
      <c r="E28" s="26">
        <f>10699.3+11293.16+25552.46+2598.77</f>
        <v>50143.689999999995</v>
      </c>
      <c r="F28" s="26">
        <f>1026.8+576.2+208.79+902.81</f>
        <v>2714.6</v>
      </c>
      <c r="G28" s="26">
        <f>1842+1478.14+1376.39+983.81</f>
        <v>5680.34</v>
      </c>
      <c r="H28" s="26">
        <f>446.41+742.68</f>
        <v>1189.09</v>
      </c>
      <c r="I28" s="26"/>
      <c r="J28" s="26"/>
      <c r="K28" s="26">
        <v>5357.95</v>
      </c>
      <c r="L28" s="26">
        <f>4223.6+90356.3</f>
        <v>94579.90000000001</v>
      </c>
      <c r="M28" s="26">
        <f>5357.94+2678.97</f>
        <v>8036.91</v>
      </c>
      <c r="N28" s="26">
        <v>13394.85</v>
      </c>
      <c r="O28" s="26"/>
      <c r="P28" s="26">
        <f>22771.25+2678.97</f>
        <v>25450.22</v>
      </c>
      <c r="Q28" s="77">
        <f t="shared" si="0"/>
        <v>148008.92</v>
      </c>
      <c r="R28" s="78">
        <f>C28+D28+E28+F28+G28+H28+I28+J28+K28+L28+M28+N28+O28+P28</f>
        <v>312168.55999999994</v>
      </c>
      <c r="S28" s="79">
        <f t="shared" si="1"/>
        <v>164159.63999999993</v>
      </c>
      <c r="T28" s="96">
        <f>R28+PENS!E30+DIABET!C29+INS!C30+MIXT!E29+TESTE!C30+TESTE!D30+'COST VOLUM ONCO'!C29+ONCO!C29+POSTT!C29+SCLEROZ!C29+'CV UNICE'!C29+MUCOV!C29+MUCOV!D29</f>
        <v>672854.7299999999</v>
      </c>
      <c r="U28" s="82">
        <f>R28+PENS!C30</f>
        <v>317598.70999999996</v>
      </c>
      <c r="V28" s="84"/>
      <c r="X28" s="82"/>
    </row>
    <row r="29" spans="1:24" ht="15.75">
      <c r="A29" s="75">
        <v>25</v>
      </c>
      <c r="B29" s="76" t="s">
        <v>29</v>
      </c>
      <c r="C29" s="26">
        <v>3177.2</v>
      </c>
      <c r="D29" s="26">
        <v>5013.62</v>
      </c>
      <c r="E29" s="26">
        <v>783.76</v>
      </c>
      <c r="F29" s="26">
        <v>105.51</v>
      </c>
      <c r="G29" s="26">
        <v>671.65</v>
      </c>
      <c r="H29" s="27"/>
      <c r="I29" s="26"/>
      <c r="J29" s="26"/>
      <c r="K29" s="26"/>
      <c r="L29" s="26"/>
      <c r="M29" s="26"/>
      <c r="N29" s="26">
        <v>3859.45</v>
      </c>
      <c r="O29" s="26"/>
      <c r="P29" s="26"/>
      <c r="Q29" s="77">
        <f t="shared" si="0"/>
        <v>3859.45</v>
      </c>
      <c r="R29" s="78">
        <f>C29+D29+E29+F29+G29+H29+I29+J29+K29+L29+M29+N29+O29+P29</f>
        <v>13611.189999999999</v>
      </c>
      <c r="S29" s="79">
        <f t="shared" si="1"/>
        <v>9751.739999999998</v>
      </c>
      <c r="T29" s="96">
        <f>R29+PENS!E31+DIABET!C30+INS!C31+MIXT!E30+TESTE!C31+TESTE!D31+'COST VOLUM ONCO'!C30+ONCO!C30+POSTT!C30+SCLEROZ!C30+'CV UNICE'!C30+MUCOV!C30+MUCOV!D30</f>
        <v>77265.95999999999</v>
      </c>
      <c r="U29" s="82">
        <f>R29+PENS!C31</f>
        <v>13674.31</v>
      </c>
      <c r="V29" s="84"/>
      <c r="X29" s="82"/>
    </row>
    <row r="30" spans="1:24" ht="15.75">
      <c r="A30" s="75">
        <v>26</v>
      </c>
      <c r="B30" s="76" t="s">
        <v>30</v>
      </c>
      <c r="C30" s="26">
        <f>12744.56+6035.3</f>
        <v>18779.86</v>
      </c>
      <c r="D30" s="26">
        <f>14461.05+4553.89</f>
        <v>19014.94</v>
      </c>
      <c r="E30" s="26">
        <f>3843.72+2377.76</f>
        <v>6221.48</v>
      </c>
      <c r="F30" s="26">
        <f>1420.54+1114.06</f>
        <v>2534.6</v>
      </c>
      <c r="G30" s="26">
        <f>1621.21+802.24</f>
        <v>2423.45</v>
      </c>
      <c r="H30" s="27"/>
      <c r="I30" s="26"/>
      <c r="J30" s="26"/>
      <c r="K30" s="26"/>
      <c r="L30" s="26">
        <v>3260.32</v>
      </c>
      <c r="M30" s="26"/>
      <c r="N30" s="26"/>
      <c r="O30" s="26"/>
      <c r="P30" s="26"/>
      <c r="Q30" s="77">
        <f t="shared" si="0"/>
        <v>3260.32</v>
      </c>
      <c r="R30" s="78">
        <f>C30+D30+E30+F30+G30+H30+I30+J30+K30+L30+M30+N30+O30+P30</f>
        <v>52234.649999999994</v>
      </c>
      <c r="S30" s="79">
        <f t="shared" si="1"/>
        <v>48974.329999999994</v>
      </c>
      <c r="T30" s="96">
        <f>R30+PENS!E32+DIABET!C31+INS!C32+MIXT!E31+TESTE!C32+TESTE!D32+'COST VOLUM ONCO'!C31+ONCO!C31+POSTT!C31+SCLEROZ!C31+'CV UNICE'!C31+MUCOV!C31+MUCOV!D31</f>
        <v>73195.9</v>
      </c>
      <c r="U30" s="82">
        <f>R30+PENS!C32</f>
        <v>54459.70999999999</v>
      </c>
      <c r="V30" s="84"/>
      <c r="X30" s="82"/>
    </row>
    <row r="31" spans="1:24" ht="15.75">
      <c r="A31" s="75">
        <v>27</v>
      </c>
      <c r="B31" s="76" t="s">
        <v>31</v>
      </c>
      <c r="C31" s="26">
        <f>8153.11+4783.91</f>
        <v>12937.02</v>
      </c>
      <c r="D31" s="26">
        <f>6163.13+4227.83</f>
        <v>10390.96</v>
      </c>
      <c r="E31" s="26">
        <f>12727.53+3673.23</f>
        <v>16400.760000000002</v>
      </c>
      <c r="F31" s="26">
        <f>808.6+326.1</f>
        <v>1134.7</v>
      </c>
      <c r="G31" s="26">
        <f>965.13+535.24</f>
        <v>1500.37</v>
      </c>
      <c r="H31" s="27"/>
      <c r="I31" s="26"/>
      <c r="J31" s="26"/>
      <c r="K31" s="26"/>
      <c r="L31" s="26"/>
      <c r="M31" s="26"/>
      <c r="N31" s="26"/>
      <c r="O31" s="26"/>
      <c r="P31" s="26"/>
      <c r="Q31" s="77">
        <f t="shared" si="0"/>
        <v>0</v>
      </c>
      <c r="R31" s="78">
        <f>C31+D31+E31+F31+G31+H31+I31+J31+K31+L31+M31+N31+O31+P31</f>
        <v>42363.810000000005</v>
      </c>
      <c r="S31" s="79">
        <f t="shared" si="1"/>
        <v>42363.810000000005</v>
      </c>
      <c r="T31" s="96">
        <f>R31+PENS!E33+DIABET!C32+INS!C33+MIXT!E32+TESTE!C33+TESTE!D33+'COST VOLUM ONCO'!C32+ONCO!C32+POSTT!C32+SCLEROZ!C32+'CV UNICE'!C32+MUCOV!C32+MUCOV!D32</f>
        <v>53854.29000000001</v>
      </c>
      <c r="U31" s="82">
        <f>R31+PENS!C33</f>
        <v>44736.39000000001</v>
      </c>
      <c r="V31" s="84"/>
      <c r="X31" s="82"/>
    </row>
    <row r="32" spans="1:24" ht="15.75">
      <c r="A32" s="75">
        <v>28</v>
      </c>
      <c r="B32" s="76" t="s">
        <v>32</v>
      </c>
      <c r="C32" s="26">
        <f>18466.44+13000.42+12901.27</f>
        <v>44368.130000000005</v>
      </c>
      <c r="D32" s="26">
        <f>29299.97+22733.43+13156.28</f>
        <v>65189.68</v>
      </c>
      <c r="E32" s="26">
        <f>9112.78+4499.88+3584.8</f>
        <v>17197.46</v>
      </c>
      <c r="F32" s="26">
        <f>1276.34+928.21+476.68</f>
        <v>2681.23</v>
      </c>
      <c r="G32" s="26">
        <f>2644.21+2388.96+1858.45</f>
        <v>6891.62</v>
      </c>
      <c r="H32" s="27"/>
      <c r="I32" s="26"/>
      <c r="J32" s="26"/>
      <c r="K32" s="26"/>
      <c r="L32" s="26"/>
      <c r="M32" s="26">
        <v>2678.98</v>
      </c>
      <c r="N32" s="26"/>
      <c r="O32" s="26"/>
      <c r="P32" s="26"/>
      <c r="Q32" s="77">
        <f t="shared" si="0"/>
        <v>2678.98</v>
      </c>
      <c r="R32" s="78">
        <f>C32+D32+E32+F32+G32+H32+I32+J32+K32+L32+M32+N32+O32+P32</f>
        <v>139007.1</v>
      </c>
      <c r="S32" s="79">
        <f t="shared" si="1"/>
        <v>136328.12</v>
      </c>
      <c r="T32" s="96">
        <f>R32+PENS!E34+DIABET!C33+INS!C34+MIXT!E33+TESTE!C34+TESTE!D34+'COST VOLUM ONCO'!C33+ONCO!C33+POSTT!C33+SCLEROZ!C33+'CV UNICE'!C33+MUCOV!C33+MUCOV!D33</f>
        <v>222769.11000000002</v>
      </c>
      <c r="U32" s="82">
        <f>R32+PENS!C34</f>
        <v>145104.39</v>
      </c>
      <c r="V32" s="84"/>
      <c r="X32" s="82"/>
    </row>
    <row r="33" spans="1:24" ht="15.75">
      <c r="A33" s="75">
        <v>29</v>
      </c>
      <c r="B33" s="76" t="s">
        <v>33</v>
      </c>
      <c r="C33" s="26">
        <f>31053.65+4159.97</f>
        <v>35213.62</v>
      </c>
      <c r="D33" s="26">
        <f>36500.53+3406.25</f>
        <v>39906.78</v>
      </c>
      <c r="E33" s="26">
        <f>14935.25+595.41</f>
        <v>15530.66</v>
      </c>
      <c r="F33" s="26">
        <f>3056.37+651.14</f>
        <v>3707.5099999999998</v>
      </c>
      <c r="G33" s="26">
        <f>5077.29+494.37</f>
        <v>5571.66</v>
      </c>
      <c r="H33" s="27">
        <v>6447.46</v>
      </c>
      <c r="I33" s="26"/>
      <c r="J33" s="26"/>
      <c r="K33" s="26"/>
      <c r="L33" s="26">
        <v>3260.32</v>
      </c>
      <c r="M33" s="26"/>
      <c r="N33" s="26">
        <v>5357.96</v>
      </c>
      <c r="O33" s="26"/>
      <c r="P33" s="26"/>
      <c r="Q33" s="77">
        <f t="shared" si="0"/>
        <v>15065.740000000002</v>
      </c>
      <c r="R33" s="78">
        <f>C33+D33+E33+F33+G33+H33+I33+J33+K33+L33+M33+N33+O33+P33</f>
        <v>114995.97000000002</v>
      </c>
      <c r="S33" s="79">
        <f t="shared" si="1"/>
        <v>99930.23000000001</v>
      </c>
      <c r="T33" s="96">
        <f>R33+PENS!E35+DIABET!C34+INS!C35+MIXT!E34+TESTE!C35+TESTE!D35+'COST VOLUM ONCO'!C34+ONCO!C34+POSTT!C34+SCLEROZ!C34+'CV UNICE'!C34+MUCOV!C34+MUCOV!D34</f>
        <v>162304.88</v>
      </c>
      <c r="U33" s="82">
        <f>R33+PENS!C35</f>
        <v>123623.88000000002</v>
      </c>
      <c r="V33" s="84"/>
      <c r="X33" s="82"/>
    </row>
    <row r="34" spans="1:24" ht="15.75">
      <c r="A34" s="75">
        <v>30</v>
      </c>
      <c r="B34" s="76" t="s">
        <v>34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7"/>
      <c r="I34" s="26"/>
      <c r="J34" s="26"/>
      <c r="K34" s="26"/>
      <c r="L34" s="26"/>
      <c r="M34" s="26"/>
      <c r="N34" s="26"/>
      <c r="O34" s="26"/>
      <c r="P34" s="26"/>
      <c r="Q34" s="77">
        <f t="shared" si="0"/>
        <v>0</v>
      </c>
      <c r="R34" s="78">
        <f>C34+D34+E34+F34+G34+H34+I34+J34+K34+L34+M34+N34+O34+P34</f>
        <v>0</v>
      </c>
      <c r="S34" s="79">
        <f t="shared" si="1"/>
        <v>0</v>
      </c>
      <c r="T34" s="101">
        <f>R34+PENS!E36+DIABET!C35+INS!C36+MIXT!E35+TESTE!C36+TESTE!D36+'COST VOLUM ONCO'!C35+ONCO!C35+POSTT!C35+SCLEROZ!C35+'CV UNICE'!C35+MUCOV!C35+MUCOV!D35</f>
        <v>0</v>
      </c>
      <c r="U34" s="82">
        <f>R34+PENS!C36</f>
        <v>0</v>
      </c>
      <c r="V34" s="88"/>
      <c r="X34" s="82"/>
    </row>
    <row r="35" spans="1:24" ht="15.75">
      <c r="A35" s="75">
        <v>31</v>
      </c>
      <c r="B35" s="76" t="s">
        <v>87</v>
      </c>
      <c r="C35" s="26">
        <v>4487.38</v>
      </c>
      <c r="D35" s="26">
        <v>4501.45</v>
      </c>
      <c r="E35" s="26">
        <v>2304.28</v>
      </c>
      <c r="F35" s="26">
        <v>513.4</v>
      </c>
      <c r="G35" s="26">
        <v>521.3</v>
      </c>
      <c r="H35" s="27"/>
      <c r="I35" s="26"/>
      <c r="J35" s="26"/>
      <c r="K35" s="26"/>
      <c r="L35" s="26"/>
      <c r="M35" s="26"/>
      <c r="N35" s="26"/>
      <c r="O35" s="26"/>
      <c r="P35" s="26"/>
      <c r="Q35" s="77">
        <f t="shared" si="0"/>
        <v>0</v>
      </c>
      <c r="R35" s="78">
        <f>C35+D35+E35+F35+G35+H35+I35+J35+K35+L35+M35+N35+O35+P35</f>
        <v>12327.81</v>
      </c>
      <c r="S35" s="79">
        <f t="shared" si="1"/>
        <v>12327.81</v>
      </c>
      <c r="T35" s="96">
        <f>R35+PENS!E37+DIABET!C36+INS!C37+MIXT!E36+TESTE!C37+TESTE!D37+'COST VOLUM ONCO'!C36+ONCO!C36+POSTT!C36+SCLEROZ!C36+'CV UNICE'!C36+MUCOV!C36+MUCOV!D36</f>
        <v>16297.069999999998</v>
      </c>
      <c r="U35" s="82">
        <f>R35+PENS!C37</f>
        <v>13506.88</v>
      </c>
      <c r="V35" s="84"/>
      <c r="X35" s="82"/>
    </row>
    <row r="36" spans="1:24" ht="15.75">
      <c r="A36" s="75">
        <v>32</v>
      </c>
      <c r="B36" s="76" t="s">
        <v>89</v>
      </c>
      <c r="C36" s="26">
        <f>11448.05+2834.43+2282.07+2722.37</f>
        <v>19286.92</v>
      </c>
      <c r="D36" s="26">
        <f>12181.47+2622.92+2157.23+2584.93</f>
        <v>19546.55</v>
      </c>
      <c r="E36" s="26">
        <f>14815.32+1185.86+3597.66+1179.96</f>
        <v>20778.8</v>
      </c>
      <c r="F36" s="26">
        <f>1741.05+110.62+114.12+440.4</f>
        <v>2406.19</v>
      </c>
      <c r="G36" s="26">
        <f>1316.85+320.34+368.87+198.42</f>
        <v>2204.48</v>
      </c>
      <c r="H36" s="27"/>
      <c r="I36" s="26"/>
      <c r="J36" s="26"/>
      <c r="K36" s="26"/>
      <c r="L36" s="26"/>
      <c r="M36" s="26">
        <v>3299.87</v>
      </c>
      <c r="N36" s="26"/>
      <c r="O36" s="26"/>
      <c r="P36" s="26"/>
      <c r="Q36" s="77">
        <f t="shared" si="0"/>
        <v>3299.87</v>
      </c>
      <c r="R36" s="78">
        <f>C36+D36+E36+F36+G36+H36+I36+J36+K36+L36+M36+N36+O36+P36</f>
        <v>67522.81000000001</v>
      </c>
      <c r="S36" s="79">
        <f t="shared" si="1"/>
        <v>64222.94000000001</v>
      </c>
      <c r="T36" s="96">
        <f>R36+PENS!E38+DIABET!C37+INS!C38+MIXT!E37+TESTE!C38+TESTE!D38+'COST VOLUM ONCO'!C37+ONCO!C37+POSTT!C37+SCLEROZ!C37+'CV UNICE'!C37+MUCOV!C37+MUCOV!D37</f>
        <v>120816.59</v>
      </c>
      <c r="U36" s="82">
        <f>R36+PENS!C38</f>
        <v>70737.78000000001</v>
      </c>
      <c r="V36" s="84"/>
      <c r="X36" s="82"/>
    </row>
    <row r="37" spans="1:24" ht="15.75">
      <c r="A37" s="75">
        <v>33</v>
      </c>
      <c r="B37" s="76" t="s">
        <v>90</v>
      </c>
      <c r="C37" s="26">
        <v>16327.52</v>
      </c>
      <c r="D37" s="26">
        <v>20690.54</v>
      </c>
      <c r="E37" s="26">
        <v>8009.99</v>
      </c>
      <c r="F37" s="26">
        <v>672.81</v>
      </c>
      <c r="G37" s="26">
        <v>2302.33</v>
      </c>
      <c r="H37" s="27"/>
      <c r="I37" s="26"/>
      <c r="J37" s="26"/>
      <c r="K37" s="26"/>
      <c r="L37" s="26"/>
      <c r="M37" s="26"/>
      <c r="N37" s="26"/>
      <c r="O37" s="26"/>
      <c r="P37" s="26"/>
      <c r="Q37" s="77">
        <f t="shared" si="0"/>
        <v>0</v>
      </c>
      <c r="R37" s="78">
        <f>C37+D37+E37+F37+G37+H37+I37+J37+K37+L37+M37+N37+O37+P37</f>
        <v>48003.189999999995</v>
      </c>
      <c r="S37" s="79">
        <f t="shared" si="1"/>
        <v>48003.189999999995</v>
      </c>
      <c r="T37" s="96">
        <f>R37+PENS!E39+DIABET!C38+INS!C39+MIXT!E38+TESTE!C39+TESTE!D39+'COST VOLUM ONCO'!C38+ONCO!C38+POSTT!C38+SCLEROZ!C38+'CV UNICE'!C38+MUCOV!C38+MUCOV!D38</f>
        <v>109928.77999999998</v>
      </c>
      <c r="U37" s="82">
        <f>R37+PENS!C39</f>
        <v>51708.259999999995</v>
      </c>
      <c r="V37" s="84"/>
      <c r="X37" s="82"/>
    </row>
    <row r="38" spans="1:24" ht="15.75">
      <c r="A38" s="75">
        <v>34</v>
      </c>
      <c r="B38" s="76" t="s">
        <v>93</v>
      </c>
      <c r="C38" s="26">
        <v>6241.8</v>
      </c>
      <c r="D38" s="26">
        <v>6347.37</v>
      </c>
      <c r="E38" s="26">
        <v>5299.57</v>
      </c>
      <c r="F38" s="26">
        <v>849.56</v>
      </c>
      <c r="G38" s="26">
        <v>852.83</v>
      </c>
      <c r="H38" s="27"/>
      <c r="I38" s="26"/>
      <c r="J38" s="26"/>
      <c r="K38" s="26"/>
      <c r="L38" s="26"/>
      <c r="M38" s="26"/>
      <c r="N38" s="26"/>
      <c r="O38" s="26"/>
      <c r="P38" s="26"/>
      <c r="Q38" s="77">
        <f t="shared" si="0"/>
        <v>0</v>
      </c>
      <c r="R38" s="78">
        <f>C38+D38+E38+F38+G38+H38+I38+J38+K38+L38+M38+N38+O38+P38</f>
        <v>19591.13</v>
      </c>
      <c r="S38" s="79">
        <f t="shared" si="1"/>
        <v>19591.13</v>
      </c>
      <c r="T38" s="96">
        <f>R38+PENS!E40+DIABET!C39+INS!C40+MIXT!E39+TESTE!C40+TESTE!D40+'COST VOLUM ONCO'!C39+ONCO!C39+POSTT!C39+SCLEROZ!C39+'CV UNICE'!C39+MUCOV!C39+MUCOV!D39</f>
        <v>24242.83</v>
      </c>
      <c r="U38" s="82">
        <f>R38+PENS!C40</f>
        <v>20847.7</v>
      </c>
      <c r="V38" s="84"/>
      <c r="X38" s="82"/>
    </row>
    <row r="39" spans="1:24" ht="15.75">
      <c r="A39" s="75">
        <v>35</v>
      </c>
      <c r="B39" s="76" t="s">
        <v>94</v>
      </c>
      <c r="C39" s="26">
        <v>5657.6</v>
      </c>
      <c r="D39" s="26">
        <v>4464.46</v>
      </c>
      <c r="E39" s="26">
        <v>4838.77</v>
      </c>
      <c r="F39" s="26">
        <v>162.06</v>
      </c>
      <c r="G39" s="26">
        <v>389.9</v>
      </c>
      <c r="H39" s="27"/>
      <c r="I39" s="26"/>
      <c r="J39" s="26"/>
      <c r="K39" s="26"/>
      <c r="L39" s="26"/>
      <c r="M39" s="26"/>
      <c r="N39" s="26"/>
      <c r="O39" s="26"/>
      <c r="P39" s="26"/>
      <c r="Q39" s="77">
        <f t="shared" si="0"/>
        <v>0</v>
      </c>
      <c r="R39" s="78">
        <f>C39+D39+E39+F39+G39+H39+I39+J39+K39+L39+M39+N39+O39+P39</f>
        <v>15512.79</v>
      </c>
      <c r="S39" s="79">
        <f t="shared" si="1"/>
        <v>15512.79</v>
      </c>
      <c r="T39" s="96">
        <f>R39+PENS!E41+DIABET!C40+INS!C41+MIXT!E40+TESTE!C41+TESTE!D41+'COST VOLUM ONCO'!C40+ONCO!C40+POSTT!C40+SCLEROZ!C40+'CV UNICE'!C40+MUCOV!C40+MUCOV!D40</f>
        <v>17439.37</v>
      </c>
      <c r="U39" s="82">
        <f>R39+PENS!C41</f>
        <v>15940.78</v>
      </c>
      <c r="V39" s="84"/>
      <c r="X39" s="82"/>
    </row>
    <row r="40" spans="1:59" s="68" customFormat="1" ht="15.75">
      <c r="A40" s="75">
        <v>36</v>
      </c>
      <c r="B40" s="76" t="s">
        <v>98</v>
      </c>
      <c r="C40" s="26">
        <v>7008.29</v>
      </c>
      <c r="D40" s="26">
        <v>8425.12</v>
      </c>
      <c r="E40" s="26">
        <v>5483.21</v>
      </c>
      <c r="F40" s="26">
        <v>1028.05</v>
      </c>
      <c r="G40" s="26">
        <v>1108.19</v>
      </c>
      <c r="H40" s="26"/>
      <c r="I40" s="26"/>
      <c r="J40" s="26"/>
      <c r="K40" s="26"/>
      <c r="L40" s="26"/>
      <c r="M40" s="26"/>
      <c r="N40" s="26"/>
      <c r="O40" s="26"/>
      <c r="P40" s="26"/>
      <c r="Q40" s="77">
        <f t="shared" si="0"/>
        <v>0</v>
      </c>
      <c r="R40" s="78">
        <f>C40+D40+E40+F40+G40+H40+I40+J40+K40+L40+M40+N40+O40+P40</f>
        <v>23052.859999999997</v>
      </c>
      <c r="S40" s="79">
        <f t="shared" si="1"/>
        <v>23052.859999999997</v>
      </c>
      <c r="T40" s="96">
        <f>R40+PENS!E42+DIABET!C41+INS!C42+MIXT!E41+TESTE!C42+TESTE!D42+'COST VOLUM ONCO'!C41+ONCO!C41+POSTT!C41+SCLEROZ!C41+'CV UNICE'!C41+MUCOV!C41+MUCOV!D41</f>
        <v>26462.639999999996</v>
      </c>
      <c r="U40" s="82">
        <f>R40+PENS!C42</f>
        <v>24754.439999999995</v>
      </c>
      <c r="V40" s="84"/>
      <c r="W40" s="4"/>
      <c r="X40" s="82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24" s="4" customFormat="1" ht="15.75">
      <c r="A41" s="75">
        <v>37</v>
      </c>
      <c r="B41" s="76" t="s">
        <v>113</v>
      </c>
      <c r="C41" s="26">
        <v>2592.76</v>
      </c>
      <c r="D41" s="26">
        <v>1893.43</v>
      </c>
      <c r="E41" s="26">
        <v>2146.5</v>
      </c>
      <c r="F41" s="26">
        <v>226</v>
      </c>
      <c r="G41" s="26">
        <v>371.08</v>
      </c>
      <c r="H41" s="26"/>
      <c r="I41" s="26"/>
      <c r="J41" s="26"/>
      <c r="K41" s="26"/>
      <c r="L41" s="26"/>
      <c r="M41" s="26"/>
      <c r="N41" s="26"/>
      <c r="O41" s="26"/>
      <c r="P41" s="26"/>
      <c r="Q41" s="77">
        <f t="shared" si="0"/>
        <v>0</v>
      </c>
      <c r="R41" s="78">
        <f>C41+D41+E41+F41+G41+H41+I41+J41+K41+L41+M41+N41+O41+P41</f>
        <v>7229.77</v>
      </c>
      <c r="S41" s="79">
        <f t="shared" si="1"/>
        <v>7229.77</v>
      </c>
      <c r="T41" s="96">
        <f>R41+PENS!E43+DIABET!C42+INS!C43+MIXT!E42+TESTE!C43+TESTE!D43+'COST VOLUM ONCO'!C42+ONCO!C42+POSTT!C42+SCLEROZ!C42+'CV UNICE'!C42+MUCOV!C42+MUCOV!D42</f>
        <v>7445.27</v>
      </c>
      <c r="U41" s="82">
        <f>R41+PENS!C43</f>
        <v>7307.530000000001</v>
      </c>
      <c r="V41" s="84"/>
      <c r="X41" s="82"/>
    </row>
    <row r="42" spans="1:24" s="4" customFormat="1" ht="16.5" thickBot="1">
      <c r="A42" s="75">
        <v>38</v>
      </c>
      <c r="B42" s="76" t="s">
        <v>114</v>
      </c>
      <c r="C42" s="26">
        <v>5098.63</v>
      </c>
      <c r="D42" s="26">
        <v>4754.58</v>
      </c>
      <c r="E42" s="26">
        <v>630.08</v>
      </c>
      <c r="F42" s="26">
        <v>2077.88</v>
      </c>
      <c r="G42" s="26">
        <v>669.45</v>
      </c>
      <c r="H42" s="26"/>
      <c r="I42" s="26"/>
      <c r="J42" s="26"/>
      <c r="K42" s="26"/>
      <c r="L42" s="26"/>
      <c r="M42" s="26"/>
      <c r="N42" s="26"/>
      <c r="O42" s="26"/>
      <c r="P42" s="26"/>
      <c r="Q42" s="77">
        <f t="shared" si="0"/>
        <v>0</v>
      </c>
      <c r="R42" s="78">
        <f>C42+D42+E42+F42+G42+H42+I42+J42+K42+L42+M42+N42+O42+P42</f>
        <v>13230.619999999999</v>
      </c>
      <c r="S42" s="79">
        <f t="shared" si="1"/>
        <v>13230.619999999999</v>
      </c>
      <c r="T42" s="96">
        <f>R42+PENS!E44+DIABET!C43+INS!C44+MIXT!E43+TESTE!C44+TESTE!D44+'COST VOLUM ONCO'!C43+ONCO!C43+POSTT!C43+SCLEROZ!C43+'CV UNICE'!C43+MUCOV!C43+MUCOV!D43</f>
        <v>15786.1</v>
      </c>
      <c r="U42" s="82">
        <f>R42+PENS!C44</f>
        <v>13549.749999999998</v>
      </c>
      <c r="V42" s="84"/>
      <c r="X42" s="82"/>
    </row>
    <row r="43" spans="1:59" s="69" customFormat="1" ht="26.25" customHeight="1" thickBot="1">
      <c r="A43" s="77"/>
      <c r="B43" s="77" t="s">
        <v>35</v>
      </c>
      <c r="C43" s="77">
        <f>SUM(C5:C42)</f>
        <v>786741.0800000001</v>
      </c>
      <c r="D43" s="77">
        <f aca="true" t="shared" si="2" ref="D43:P43">SUM(D5:D42)</f>
        <v>915067.3200000001</v>
      </c>
      <c r="E43" s="77">
        <f t="shared" si="2"/>
        <v>693147.0999999999</v>
      </c>
      <c r="F43" s="77">
        <f t="shared" si="2"/>
        <v>87680.10999999999</v>
      </c>
      <c r="G43" s="77">
        <f t="shared" si="2"/>
        <v>104248.18999999996</v>
      </c>
      <c r="H43" s="77">
        <f t="shared" si="2"/>
        <v>22248.989999999998</v>
      </c>
      <c r="I43" s="77">
        <f t="shared" si="2"/>
        <v>247.57</v>
      </c>
      <c r="J43" s="77">
        <f t="shared" si="2"/>
        <v>14762.8</v>
      </c>
      <c r="K43" s="77">
        <f t="shared" si="2"/>
        <v>33037.4</v>
      </c>
      <c r="L43" s="77">
        <f t="shared" si="2"/>
        <v>177870.85000000003</v>
      </c>
      <c r="M43" s="77">
        <f t="shared" si="2"/>
        <v>16694.739999999998</v>
      </c>
      <c r="N43" s="77">
        <f t="shared" si="2"/>
        <v>76259.74</v>
      </c>
      <c r="O43" s="77">
        <f t="shared" si="2"/>
        <v>1815.63</v>
      </c>
      <c r="P43" s="77">
        <f t="shared" si="2"/>
        <v>34728.94</v>
      </c>
      <c r="Q43" s="77">
        <f t="shared" si="0"/>
        <v>377666.66000000003</v>
      </c>
      <c r="R43" s="78">
        <f>C43+D43+E43+F43+G43+H43+I43+J43+K43+L43+M43+N43+O43+P43</f>
        <v>2964550.46</v>
      </c>
      <c r="S43" s="77">
        <f>SUM(S5:S42)</f>
        <v>2586883.8000000003</v>
      </c>
      <c r="T43" s="101">
        <f>SUM(T5:T42)</f>
        <v>5109242.029999999</v>
      </c>
      <c r="U43" s="82">
        <f>R43+PENS!C45</f>
        <v>3077395.38</v>
      </c>
      <c r="V43" s="88"/>
      <c r="W43" s="4"/>
      <c r="X43" s="82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2:19" ht="15.75">
      <c r="B44" s="30"/>
      <c r="C44" s="31"/>
      <c r="D44" s="31"/>
      <c r="E44" s="31"/>
      <c r="F44" s="32"/>
      <c r="G44" s="32"/>
      <c r="H44" s="33"/>
      <c r="I44" s="31"/>
      <c r="J44" s="31"/>
      <c r="K44" s="31"/>
      <c r="L44" s="31"/>
      <c r="M44" s="31"/>
      <c r="N44" s="31"/>
      <c r="O44" s="31"/>
      <c r="P44" s="31"/>
      <c r="Q44" s="31"/>
      <c r="S44" s="33"/>
    </row>
    <row r="45" spans="2:19" ht="15.75">
      <c r="B45" s="34"/>
      <c r="C45" s="31"/>
      <c r="D45" s="31"/>
      <c r="E45" s="31"/>
      <c r="F45" s="32"/>
      <c r="G45" s="32"/>
      <c r="H45" s="33"/>
      <c r="I45" s="31"/>
      <c r="J45" s="31"/>
      <c r="K45" s="31"/>
      <c r="L45" s="31"/>
      <c r="M45" s="31"/>
      <c r="N45" s="31"/>
      <c r="O45" s="31"/>
      <c r="P45" s="31"/>
      <c r="Q45" s="31"/>
      <c r="S45" s="33"/>
    </row>
    <row r="46" spans="2:18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  <c r="R46" s="3"/>
    </row>
    <row r="47" spans="2:17" ht="15">
      <c r="B47" s="9"/>
      <c r="C47" s="1"/>
      <c r="D47" s="1"/>
      <c r="E47" s="1"/>
      <c r="F47" s="2"/>
      <c r="G47" s="2"/>
      <c r="H47" s="17"/>
      <c r="I47" s="1"/>
      <c r="J47" s="1"/>
      <c r="K47" s="1"/>
      <c r="L47" s="1"/>
      <c r="M47" s="1"/>
      <c r="N47" s="1"/>
      <c r="O47" s="1"/>
      <c r="P47" s="1"/>
      <c r="Q47" s="1"/>
    </row>
    <row r="48" spans="2:17" ht="15">
      <c r="B48" s="9"/>
      <c r="C48" s="1"/>
      <c r="D48" s="1"/>
      <c r="E48" s="1"/>
      <c r="F48" s="2"/>
      <c r="G48" s="2"/>
      <c r="H48" s="16"/>
      <c r="I48" s="1"/>
      <c r="J48" s="1"/>
      <c r="K48" s="1"/>
      <c r="L48" s="1"/>
      <c r="M48" s="1"/>
      <c r="N48" s="1"/>
      <c r="O48" s="1"/>
      <c r="P48" s="1"/>
      <c r="Q48" s="1"/>
    </row>
    <row r="49" spans="2:17" ht="15">
      <c r="B49" s="9"/>
      <c r="C49" s="1"/>
      <c r="D49" s="1"/>
      <c r="E49" s="1"/>
      <c r="F49" s="2"/>
      <c r="G49" s="2"/>
      <c r="H49" s="16"/>
      <c r="I49" s="1"/>
      <c r="J49" s="1"/>
      <c r="K49" s="1"/>
      <c r="L49" s="1"/>
      <c r="M49" s="1"/>
      <c r="N49" s="1"/>
      <c r="O49" s="1"/>
      <c r="P49" s="1"/>
      <c r="Q49" s="1"/>
    </row>
    <row r="50" spans="2:19" ht="12.75">
      <c r="B50" s="15"/>
      <c r="S50" s="85"/>
    </row>
    <row r="51" spans="2:12" ht="12.75">
      <c r="B51" s="10"/>
      <c r="F51" s="3"/>
      <c r="G51" s="3"/>
      <c r="L51" s="3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spans="2:19" ht="12.75">
      <c r="B61" s="11"/>
      <c r="C61" s="4"/>
      <c r="D61" s="4"/>
      <c r="E61" s="4"/>
      <c r="F61" s="4"/>
      <c r="G61" s="4"/>
      <c r="H61" s="19"/>
      <c r="I61" s="4"/>
      <c r="J61" s="4"/>
      <c r="K61" s="4"/>
      <c r="L61" s="4"/>
      <c r="M61" s="4"/>
      <c r="N61" s="4"/>
      <c r="O61" s="4"/>
      <c r="P61" s="4"/>
      <c r="Q61" s="4"/>
      <c r="R61" s="4"/>
      <c r="S61" s="14"/>
    </row>
    <row r="62" spans="2:19" ht="12.75">
      <c r="B62" s="11"/>
      <c r="C62" s="4"/>
      <c r="D62" s="4"/>
      <c r="E62" s="4"/>
      <c r="F62" s="4"/>
      <c r="G62" s="4"/>
      <c r="H62" s="19"/>
      <c r="I62" s="4"/>
      <c r="J62" s="4"/>
      <c r="K62" s="4"/>
      <c r="L62" s="4"/>
      <c r="M62" s="4"/>
      <c r="N62" s="4"/>
      <c r="O62" s="4"/>
      <c r="P62" s="4"/>
      <c r="Q62" s="4"/>
      <c r="R62" s="4"/>
      <c r="S62" s="14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16">
      <selection activeCell="I44" sqref="I44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04" t="s">
        <v>126</v>
      </c>
      <c r="B3" s="104"/>
      <c r="C3" s="104"/>
      <c r="D3" s="104"/>
      <c r="E3" s="104"/>
      <c r="F3" s="104"/>
      <c r="G3" s="104"/>
      <c r="H3" s="104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45">
      <c r="A5" s="49" t="s">
        <v>0</v>
      </c>
      <c r="B5" s="49" t="s">
        <v>1</v>
      </c>
      <c r="C5" s="51" t="s">
        <v>51</v>
      </c>
      <c r="D5" s="48"/>
      <c r="E5" s="1"/>
      <c r="F5" s="1"/>
      <c r="G5" s="37"/>
      <c r="H5" s="37"/>
    </row>
    <row r="6" spans="1:8" ht="15">
      <c r="A6" s="40" t="s">
        <v>79</v>
      </c>
      <c r="B6" s="7" t="s">
        <v>6</v>
      </c>
      <c r="C6" s="8"/>
      <c r="D6" s="12"/>
      <c r="E6" s="1"/>
      <c r="F6" s="1"/>
      <c r="G6" s="37"/>
      <c r="H6" s="37"/>
    </row>
    <row r="7" spans="1:8" ht="15">
      <c r="A7" s="40" t="s">
        <v>52</v>
      </c>
      <c r="B7" s="7" t="s">
        <v>39</v>
      </c>
      <c r="C7" s="47"/>
      <c r="D7" s="12"/>
      <c r="E7" s="1"/>
      <c r="F7" s="1"/>
      <c r="G7" s="37"/>
      <c r="H7" s="37"/>
    </row>
    <row r="8" spans="1:8" ht="15">
      <c r="A8" s="40" t="s">
        <v>53</v>
      </c>
      <c r="B8" s="7" t="s">
        <v>8</v>
      </c>
      <c r="C8" s="47"/>
      <c r="D8" s="12"/>
      <c r="E8" s="1"/>
      <c r="F8" s="1"/>
      <c r="G8" s="37"/>
      <c r="H8" s="37"/>
    </row>
    <row r="9" spans="1:8" ht="15">
      <c r="A9" s="40" t="s">
        <v>54</v>
      </c>
      <c r="B9" s="7" t="s">
        <v>9</v>
      </c>
      <c r="C9" s="47"/>
      <c r="D9" s="12"/>
      <c r="E9" s="1"/>
      <c r="F9" s="1"/>
      <c r="G9" s="37"/>
      <c r="H9" s="37"/>
    </row>
    <row r="10" spans="1:8" ht="15">
      <c r="A10" s="40" t="s">
        <v>55</v>
      </c>
      <c r="B10" s="7" t="s">
        <v>10</v>
      </c>
      <c r="C10" s="47"/>
      <c r="D10" s="12"/>
      <c r="E10" s="1"/>
      <c r="F10" s="1"/>
      <c r="G10" s="37"/>
      <c r="H10" s="37"/>
    </row>
    <row r="11" spans="1:8" ht="15">
      <c r="A11" s="40" t="s">
        <v>56</v>
      </c>
      <c r="B11" s="7" t="s">
        <v>11</v>
      </c>
      <c r="C11" s="47"/>
      <c r="D11" s="12"/>
      <c r="E11" s="1"/>
      <c r="F11" s="1"/>
      <c r="G11" s="37"/>
      <c r="H11" s="37"/>
    </row>
    <row r="12" spans="1:8" ht="15">
      <c r="A12" s="40" t="s">
        <v>57</v>
      </c>
      <c r="B12" s="7" t="s">
        <v>12</v>
      </c>
      <c r="C12" s="47"/>
      <c r="D12" s="12"/>
      <c r="E12" s="1"/>
      <c r="F12" s="1"/>
      <c r="G12" s="37"/>
      <c r="H12" s="37"/>
    </row>
    <row r="13" spans="1:8" ht="15">
      <c r="A13" s="40" t="s">
        <v>58</v>
      </c>
      <c r="B13" s="7" t="s">
        <v>13</v>
      </c>
      <c r="C13" s="47">
        <v>439.43</v>
      </c>
      <c r="D13" s="12"/>
      <c r="E13" s="1"/>
      <c r="F13" s="1"/>
      <c r="G13" s="37"/>
      <c r="H13" s="37"/>
    </row>
    <row r="14" spans="1:8" ht="15">
      <c r="A14" s="40" t="s">
        <v>59</v>
      </c>
      <c r="B14" s="7" t="s">
        <v>112</v>
      </c>
      <c r="C14" s="47"/>
      <c r="D14" s="12"/>
      <c r="E14" s="1"/>
      <c r="F14" s="1"/>
      <c r="G14" s="37"/>
      <c r="H14" s="37"/>
    </row>
    <row r="15" spans="1:8" ht="15">
      <c r="A15" s="40" t="s">
        <v>60</v>
      </c>
      <c r="B15" s="7" t="s">
        <v>14</v>
      </c>
      <c r="C15" s="8"/>
      <c r="D15" s="12"/>
      <c r="E15" s="1"/>
      <c r="F15" s="1"/>
      <c r="G15" s="37"/>
      <c r="H15" s="37"/>
    </row>
    <row r="16" spans="1:8" ht="15">
      <c r="A16" s="40" t="s">
        <v>61</v>
      </c>
      <c r="B16" s="7" t="s">
        <v>15</v>
      </c>
      <c r="C16" s="47"/>
      <c r="D16" s="12"/>
      <c r="E16" s="1"/>
      <c r="F16" s="1"/>
      <c r="G16" s="37"/>
      <c r="H16" s="37"/>
    </row>
    <row r="17" spans="1:8" ht="15">
      <c r="A17" s="40" t="s">
        <v>62</v>
      </c>
      <c r="B17" s="7" t="s">
        <v>40</v>
      </c>
      <c r="C17" s="47"/>
      <c r="D17" s="12"/>
      <c r="E17" s="1"/>
      <c r="F17" s="1"/>
      <c r="G17" s="37"/>
      <c r="H17" s="37"/>
    </row>
    <row r="18" spans="1:8" ht="15">
      <c r="A18" s="40" t="s">
        <v>63</v>
      </c>
      <c r="B18" s="7" t="s">
        <v>17</v>
      </c>
      <c r="C18" s="47"/>
      <c r="D18" s="12"/>
      <c r="E18" s="1"/>
      <c r="F18" s="1"/>
      <c r="G18" s="37"/>
      <c r="H18" s="37"/>
    </row>
    <row r="19" spans="1:8" ht="15">
      <c r="A19" s="40" t="s">
        <v>64</v>
      </c>
      <c r="B19" s="7" t="s">
        <v>18</v>
      </c>
      <c r="C19" s="47"/>
      <c r="D19" s="12"/>
      <c r="E19" s="1"/>
      <c r="F19" s="1"/>
      <c r="G19" s="37"/>
      <c r="H19" s="37"/>
    </row>
    <row r="20" spans="1:8" ht="15">
      <c r="A20" s="40" t="s">
        <v>65</v>
      </c>
      <c r="B20" s="7" t="s">
        <v>19</v>
      </c>
      <c r="C20" s="47">
        <v>439.43</v>
      </c>
      <c r="D20" s="12"/>
      <c r="E20" s="1"/>
      <c r="F20" s="1"/>
      <c r="G20" s="37"/>
      <c r="H20" s="37"/>
    </row>
    <row r="21" spans="1:8" ht="15">
      <c r="A21" s="40" t="s">
        <v>66</v>
      </c>
      <c r="B21" s="7" t="s">
        <v>20</v>
      </c>
      <c r="C21" s="47"/>
      <c r="D21" s="12"/>
      <c r="E21" s="1"/>
      <c r="F21" s="1"/>
      <c r="G21" s="37"/>
      <c r="H21" s="37"/>
    </row>
    <row r="22" spans="1:8" ht="15">
      <c r="A22" s="40" t="s">
        <v>67</v>
      </c>
      <c r="B22" s="7" t="s">
        <v>21</v>
      </c>
      <c r="C22" s="47"/>
      <c r="D22" s="12"/>
      <c r="E22" s="1"/>
      <c r="F22" s="1"/>
      <c r="G22" s="37"/>
      <c r="H22" s="37"/>
    </row>
    <row r="23" spans="1:8" ht="15">
      <c r="A23" s="40" t="s">
        <v>68</v>
      </c>
      <c r="B23" s="7" t="s">
        <v>22</v>
      </c>
      <c r="C23" s="47"/>
      <c r="D23" s="12"/>
      <c r="E23" s="1"/>
      <c r="F23" s="1"/>
      <c r="G23" s="37"/>
      <c r="H23" s="37"/>
    </row>
    <row r="24" spans="1:8" ht="15">
      <c r="A24" s="40" t="s">
        <v>69</v>
      </c>
      <c r="B24" s="7" t="s">
        <v>23</v>
      </c>
      <c r="C24" s="47"/>
      <c r="D24" s="12"/>
      <c r="E24" s="1"/>
      <c r="F24" s="1"/>
      <c r="G24" s="37"/>
      <c r="H24" s="37"/>
    </row>
    <row r="25" spans="1:8" ht="15">
      <c r="A25" s="40" t="s">
        <v>70</v>
      </c>
      <c r="B25" s="7" t="s">
        <v>24</v>
      </c>
      <c r="C25" s="47"/>
      <c r="D25" s="12"/>
      <c r="E25" s="1"/>
      <c r="F25" s="1"/>
      <c r="G25" s="37"/>
      <c r="H25" s="37"/>
    </row>
    <row r="26" spans="1:8" ht="15">
      <c r="A26" s="40" t="s">
        <v>71</v>
      </c>
      <c r="B26" s="7" t="s">
        <v>25</v>
      </c>
      <c r="C26" s="47"/>
      <c r="D26" s="12"/>
      <c r="E26" s="1"/>
      <c r="F26" s="1"/>
      <c r="G26" s="37"/>
      <c r="H26" s="37"/>
    </row>
    <row r="27" spans="1:8" ht="15">
      <c r="A27" s="40" t="s">
        <v>72</v>
      </c>
      <c r="B27" s="7" t="s">
        <v>26</v>
      </c>
      <c r="C27" s="47"/>
      <c r="D27" s="12"/>
      <c r="E27" s="1"/>
      <c r="F27" s="1"/>
      <c r="G27" s="37"/>
      <c r="H27" s="37"/>
    </row>
    <row r="28" spans="1:8" ht="15">
      <c r="A28" s="40" t="s">
        <v>73</v>
      </c>
      <c r="B28" s="7" t="s">
        <v>27</v>
      </c>
      <c r="C28" s="47"/>
      <c r="D28" s="12"/>
      <c r="E28" s="1"/>
      <c r="F28" s="1"/>
      <c r="G28" s="37"/>
      <c r="H28" s="37"/>
    </row>
    <row r="29" spans="1:8" ht="15">
      <c r="A29" s="40" t="s">
        <v>74</v>
      </c>
      <c r="B29" s="7" t="s">
        <v>28</v>
      </c>
      <c r="C29" s="47">
        <v>878.84</v>
      </c>
      <c r="D29" s="12"/>
      <c r="E29" s="1"/>
      <c r="F29" s="1"/>
      <c r="G29" s="37"/>
      <c r="H29" s="37"/>
    </row>
    <row r="30" spans="1:8" ht="15">
      <c r="A30" s="40" t="s">
        <v>75</v>
      </c>
      <c r="B30" s="7" t="s">
        <v>29</v>
      </c>
      <c r="C30" s="47"/>
      <c r="D30" s="12"/>
      <c r="E30" s="1"/>
      <c r="F30" s="1"/>
      <c r="G30" s="37"/>
      <c r="H30" s="37"/>
    </row>
    <row r="31" spans="1:8" ht="15">
      <c r="A31" s="40" t="s">
        <v>76</v>
      </c>
      <c r="B31" s="7" t="s">
        <v>30</v>
      </c>
      <c r="C31" s="47"/>
      <c r="D31" s="12"/>
      <c r="E31" s="1"/>
      <c r="F31" s="1"/>
      <c r="G31" s="37"/>
      <c r="H31" s="37"/>
    </row>
    <row r="32" spans="1:8" ht="15">
      <c r="A32" s="40" t="s">
        <v>77</v>
      </c>
      <c r="B32" s="7" t="s">
        <v>31</v>
      </c>
      <c r="C32" s="47"/>
      <c r="D32" s="12"/>
      <c r="E32" s="1"/>
      <c r="F32" s="1"/>
      <c r="G32" s="37"/>
      <c r="H32" s="37"/>
    </row>
    <row r="33" spans="1:8" ht="15">
      <c r="A33" s="40" t="s">
        <v>78</v>
      </c>
      <c r="B33" s="7" t="s">
        <v>32</v>
      </c>
      <c r="C33" s="47"/>
      <c r="D33" s="12"/>
      <c r="E33" s="1"/>
      <c r="F33" s="1"/>
      <c r="G33" s="37"/>
      <c r="H33" s="37"/>
    </row>
    <row r="34" spans="1:8" ht="15">
      <c r="A34" s="40" t="s">
        <v>80</v>
      </c>
      <c r="B34" s="7" t="s">
        <v>33</v>
      </c>
      <c r="C34" s="47"/>
      <c r="D34" s="12"/>
      <c r="E34" s="1"/>
      <c r="F34" s="1"/>
      <c r="G34" s="37"/>
      <c r="H34" s="37"/>
    </row>
    <row r="35" spans="1:8" ht="15">
      <c r="A35" s="40" t="s">
        <v>81</v>
      </c>
      <c r="B35" s="7" t="s">
        <v>34</v>
      </c>
      <c r="C35" s="47"/>
      <c r="D35" s="12"/>
      <c r="E35" s="1"/>
      <c r="F35" s="1"/>
      <c r="G35" s="37"/>
      <c r="H35" s="37"/>
    </row>
    <row r="36" spans="1:8" ht="15">
      <c r="A36" s="40" t="s">
        <v>82</v>
      </c>
      <c r="B36" s="7" t="s">
        <v>88</v>
      </c>
      <c r="C36" s="47"/>
      <c r="D36" s="12"/>
      <c r="E36" s="1"/>
      <c r="F36" s="1"/>
      <c r="G36" s="37"/>
      <c r="H36" s="37"/>
    </row>
    <row r="37" spans="1:8" ht="15">
      <c r="A37" s="40" t="s">
        <v>83</v>
      </c>
      <c r="B37" s="7" t="s">
        <v>89</v>
      </c>
      <c r="C37" s="47"/>
      <c r="D37" s="12"/>
      <c r="E37" s="1"/>
      <c r="F37" s="1"/>
      <c r="G37" s="37"/>
      <c r="H37" s="37"/>
    </row>
    <row r="38" spans="1:8" ht="15">
      <c r="A38" s="40" t="s">
        <v>84</v>
      </c>
      <c r="B38" s="7" t="s">
        <v>90</v>
      </c>
      <c r="C38" s="47"/>
      <c r="D38" s="12"/>
      <c r="E38" s="1"/>
      <c r="F38" s="1"/>
      <c r="G38" s="37"/>
      <c r="H38" s="37"/>
    </row>
    <row r="39" spans="1:8" ht="15">
      <c r="A39" s="40" t="s">
        <v>85</v>
      </c>
      <c r="B39" s="7" t="s">
        <v>93</v>
      </c>
      <c r="C39" s="47"/>
      <c r="D39" s="12"/>
      <c r="E39" s="1"/>
      <c r="F39" s="1"/>
      <c r="G39" s="37"/>
      <c r="H39" s="37"/>
    </row>
    <row r="40" spans="1:8" ht="15">
      <c r="A40" s="40" t="s">
        <v>86</v>
      </c>
      <c r="B40" s="7" t="s">
        <v>94</v>
      </c>
      <c r="C40" s="47"/>
      <c r="D40" s="12"/>
      <c r="E40" s="1"/>
      <c r="F40" s="1"/>
      <c r="G40" s="37"/>
      <c r="H40" s="37"/>
    </row>
    <row r="41" spans="1:8" ht="15">
      <c r="A41" s="40" t="s">
        <v>91</v>
      </c>
      <c r="B41" s="7" t="s">
        <v>98</v>
      </c>
      <c r="C41" s="47"/>
      <c r="D41" s="12"/>
      <c r="E41" s="1"/>
      <c r="F41" s="1"/>
      <c r="G41" s="37"/>
      <c r="H41" s="37"/>
    </row>
    <row r="42" spans="1:8" ht="15">
      <c r="A42" s="40" t="s">
        <v>115</v>
      </c>
      <c r="B42" s="7" t="s">
        <v>113</v>
      </c>
      <c r="C42" s="47"/>
      <c r="D42" s="12"/>
      <c r="E42" s="1"/>
      <c r="F42" s="1"/>
      <c r="G42" s="37"/>
      <c r="H42" s="37"/>
    </row>
    <row r="43" spans="1:8" ht="15.75" thickBot="1">
      <c r="A43" s="98" t="s">
        <v>116</v>
      </c>
      <c r="B43" s="56" t="s">
        <v>114</v>
      </c>
      <c r="C43" s="99"/>
      <c r="D43" s="12"/>
      <c r="E43" s="1"/>
      <c r="F43" s="1"/>
      <c r="G43" s="37"/>
      <c r="H43" s="37"/>
    </row>
    <row r="44" spans="1:8" ht="15.75" thickBot="1">
      <c r="A44" s="54"/>
      <c r="B44" s="55" t="s">
        <v>35</v>
      </c>
      <c r="C44" s="100">
        <f>SUM(C6:C41)</f>
        <v>1757.7</v>
      </c>
      <c r="D44" s="45"/>
      <c r="E44" s="1"/>
      <c r="F44" s="1"/>
      <c r="G44" s="37"/>
      <c r="H44" s="37"/>
    </row>
    <row r="45" spans="1:8" ht="14.25">
      <c r="A45" s="37"/>
      <c r="B45" s="37"/>
      <c r="C45" s="39"/>
      <c r="D45" s="1"/>
      <c r="E45" s="1"/>
      <c r="F45" s="1"/>
      <c r="G45" s="37"/>
      <c r="H45" s="37"/>
    </row>
    <row r="46" spans="1:8" ht="14.25">
      <c r="A46" s="37"/>
      <c r="B46" s="37"/>
      <c r="C46" s="39"/>
      <c r="D46" s="1"/>
      <c r="E46" s="1"/>
      <c r="F46" s="1"/>
      <c r="G46" s="37"/>
      <c r="H46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8"/>
  <sheetViews>
    <sheetView tabSelected="1" workbookViewId="0" topLeftCell="A4">
      <selection activeCell="C6" sqref="C6:C43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81" t="s">
        <v>127</v>
      </c>
      <c r="B3" s="81"/>
      <c r="C3" s="81"/>
      <c r="D3" s="81"/>
      <c r="E3" s="81"/>
      <c r="F3" s="81"/>
      <c r="G3" s="81"/>
      <c r="H3" s="81"/>
      <c r="I3" s="81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60">
      <c r="A5" s="49" t="s">
        <v>0</v>
      </c>
      <c r="B5" s="49" t="s">
        <v>1</v>
      </c>
      <c r="C5" s="51" t="s">
        <v>111</v>
      </c>
      <c r="D5" s="45"/>
      <c r="E5" s="12"/>
      <c r="F5" s="1"/>
      <c r="G5" s="1"/>
      <c r="H5" s="37"/>
      <c r="I5" s="37"/>
    </row>
    <row r="6" spans="1:9" ht="15">
      <c r="A6" s="40" t="s">
        <v>79</v>
      </c>
      <c r="B6" s="7" t="s">
        <v>6</v>
      </c>
      <c r="C6" s="8">
        <v>980.34</v>
      </c>
      <c r="D6" s="46"/>
      <c r="E6" s="12"/>
      <c r="F6" s="1"/>
      <c r="G6" s="1"/>
      <c r="H6" s="37"/>
      <c r="I6" s="37"/>
    </row>
    <row r="7" spans="1:9" ht="15">
      <c r="A7" s="40" t="s">
        <v>52</v>
      </c>
      <c r="B7" s="7" t="s">
        <v>39</v>
      </c>
      <c r="C7" s="8">
        <v>326.78</v>
      </c>
      <c r="D7" s="46"/>
      <c r="E7" s="12"/>
      <c r="F7" s="1"/>
      <c r="G7" s="1"/>
      <c r="H7" s="37"/>
      <c r="I7" s="37"/>
    </row>
    <row r="8" spans="1:9" ht="15">
      <c r="A8" s="40" t="s">
        <v>53</v>
      </c>
      <c r="B8" s="7" t="s">
        <v>8</v>
      </c>
      <c r="C8" s="8">
        <v>653.56</v>
      </c>
      <c r="D8" s="46"/>
      <c r="E8" s="12"/>
      <c r="F8" s="1"/>
      <c r="G8" s="1"/>
      <c r="H8" s="37"/>
      <c r="I8" s="37"/>
    </row>
    <row r="9" spans="1:9" ht="15">
      <c r="A9" s="40" t="s">
        <v>54</v>
      </c>
      <c r="B9" s="7" t="s">
        <v>9</v>
      </c>
      <c r="C9" s="8"/>
      <c r="D9" s="46"/>
      <c r="E9" s="12"/>
      <c r="F9" s="1"/>
      <c r="G9" s="1"/>
      <c r="H9" s="37"/>
      <c r="I9" s="37"/>
    </row>
    <row r="10" spans="1:9" ht="15">
      <c r="A10" s="40" t="s">
        <v>55</v>
      </c>
      <c r="B10" s="7" t="s">
        <v>10</v>
      </c>
      <c r="C10" s="8"/>
      <c r="D10" s="46"/>
      <c r="E10" s="12"/>
      <c r="F10" s="1"/>
      <c r="G10" s="1"/>
      <c r="H10" s="37"/>
      <c r="I10" s="37"/>
    </row>
    <row r="11" spans="1:9" ht="15">
      <c r="A11" s="40" t="s">
        <v>56</v>
      </c>
      <c r="B11" s="7" t="s">
        <v>11</v>
      </c>
      <c r="C11" s="8"/>
      <c r="D11" s="46"/>
      <c r="E11" s="12"/>
      <c r="F11" s="1"/>
      <c r="G11" s="1"/>
      <c r="H11" s="37"/>
      <c r="I11" s="37"/>
    </row>
    <row r="12" spans="1:9" ht="15">
      <c r="A12" s="40" t="s">
        <v>57</v>
      </c>
      <c r="B12" s="7" t="s">
        <v>12</v>
      </c>
      <c r="C12" s="8"/>
      <c r="D12" s="46"/>
      <c r="E12" s="12"/>
      <c r="F12" s="1"/>
      <c r="G12" s="1"/>
      <c r="H12" s="37"/>
      <c r="I12" s="37"/>
    </row>
    <row r="13" spans="1:9" ht="15">
      <c r="A13" s="40" t="s">
        <v>58</v>
      </c>
      <c r="B13" s="7" t="s">
        <v>13</v>
      </c>
      <c r="C13" s="8"/>
      <c r="D13" s="46"/>
      <c r="E13" s="12"/>
      <c r="F13" s="1"/>
      <c r="G13" s="1"/>
      <c r="H13" s="37"/>
      <c r="I13" s="37"/>
    </row>
    <row r="14" spans="1:9" ht="15">
      <c r="A14" s="40" t="s">
        <v>59</v>
      </c>
      <c r="B14" s="7" t="s">
        <v>112</v>
      </c>
      <c r="C14" s="8">
        <v>326.78</v>
      </c>
      <c r="D14" s="46"/>
      <c r="E14" s="12"/>
      <c r="F14" s="1"/>
      <c r="G14" s="1"/>
      <c r="H14" s="37"/>
      <c r="I14" s="37"/>
    </row>
    <row r="15" spans="1:9" ht="15">
      <c r="A15" s="40" t="s">
        <v>60</v>
      </c>
      <c r="B15" s="7" t="s">
        <v>14</v>
      </c>
      <c r="C15" s="8">
        <v>653.56</v>
      </c>
      <c r="D15" s="46"/>
      <c r="E15" s="12"/>
      <c r="F15" s="1"/>
      <c r="G15" s="1"/>
      <c r="H15" s="37"/>
      <c r="I15" s="37"/>
    </row>
    <row r="16" spans="1:9" ht="15">
      <c r="A16" s="40" t="s">
        <v>61</v>
      </c>
      <c r="B16" s="7" t="s">
        <v>15</v>
      </c>
      <c r="C16" s="8">
        <v>1633.9</v>
      </c>
      <c r="D16" s="46"/>
      <c r="E16" s="12"/>
      <c r="F16" s="1"/>
      <c r="G16" s="1"/>
      <c r="H16" s="37"/>
      <c r="I16" s="37"/>
    </row>
    <row r="17" spans="1:9" ht="15">
      <c r="A17" s="40" t="s">
        <v>62</v>
      </c>
      <c r="B17" s="7" t="s">
        <v>40</v>
      </c>
      <c r="C17" s="8">
        <v>980.34</v>
      </c>
      <c r="D17" s="46"/>
      <c r="E17" s="12"/>
      <c r="F17" s="1"/>
      <c r="G17" s="1"/>
      <c r="H17" s="37"/>
      <c r="I17" s="37"/>
    </row>
    <row r="18" spans="1:9" ht="15">
      <c r="A18" s="40" t="s">
        <v>63</v>
      </c>
      <c r="B18" s="7" t="s">
        <v>17</v>
      </c>
      <c r="C18" s="8">
        <v>653.56</v>
      </c>
      <c r="D18" s="46"/>
      <c r="E18" s="12"/>
      <c r="F18" s="1"/>
      <c r="G18" s="1"/>
      <c r="H18" s="37"/>
      <c r="I18" s="37"/>
    </row>
    <row r="19" spans="1:9" ht="15">
      <c r="A19" s="40" t="s">
        <v>64</v>
      </c>
      <c r="B19" s="7" t="s">
        <v>18</v>
      </c>
      <c r="C19" s="8">
        <v>653.56</v>
      </c>
      <c r="D19" s="46"/>
      <c r="E19" s="12"/>
      <c r="F19" s="1"/>
      <c r="G19" s="1"/>
      <c r="H19" s="37"/>
      <c r="I19" s="37"/>
    </row>
    <row r="20" spans="1:9" ht="15">
      <c r="A20" s="40" t="s">
        <v>65</v>
      </c>
      <c r="B20" s="7" t="s">
        <v>19</v>
      </c>
      <c r="C20" s="8">
        <v>326.78</v>
      </c>
      <c r="D20" s="46"/>
      <c r="E20" s="12"/>
      <c r="F20" s="1"/>
      <c r="G20" s="1"/>
      <c r="H20" s="37"/>
      <c r="I20" s="37"/>
    </row>
    <row r="21" spans="1:9" ht="15">
      <c r="A21" s="40" t="s">
        <v>66</v>
      </c>
      <c r="B21" s="7" t="s">
        <v>20</v>
      </c>
      <c r="C21" s="8"/>
      <c r="D21" s="46"/>
      <c r="E21" s="12"/>
      <c r="F21" s="1"/>
      <c r="G21" s="1"/>
      <c r="H21" s="37"/>
      <c r="I21" s="37"/>
    </row>
    <row r="22" spans="1:9" ht="15">
      <c r="A22" s="40" t="s">
        <v>67</v>
      </c>
      <c r="B22" s="7" t="s">
        <v>21</v>
      </c>
      <c r="C22" s="8"/>
      <c r="D22" s="46"/>
      <c r="E22" s="12"/>
      <c r="F22" s="1"/>
      <c r="G22" s="1"/>
      <c r="H22" s="37"/>
      <c r="I22" s="37"/>
    </row>
    <row r="23" spans="1:9" ht="15">
      <c r="A23" s="40" t="s">
        <v>68</v>
      </c>
      <c r="B23" s="7" t="s">
        <v>22</v>
      </c>
      <c r="C23" s="8"/>
      <c r="D23" s="46"/>
      <c r="E23" s="12"/>
      <c r="F23" s="1"/>
      <c r="G23" s="1"/>
      <c r="H23" s="37"/>
      <c r="I23" s="37"/>
    </row>
    <row r="24" spans="1:9" ht="15">
      <c r="A24" s="40" t="s">
        <v>69</v>
      </c>
      <c r="B24" s="7" t="s">
        <v>23</v>
      </c>
      <c r="C24" s="8"/>
      <c r="D24" s="46"/>
      <c r="E24" s="12"/>
      <c r="F24" s="1"/>
      <c r="G24" s="1"/>
      <c r="H24" s="37"/>
      <c r="I24" s="37"/>
    </row>
    <row r="25" spans="1:9" ht="15">
      <c r="A25" s="40" t="s">
        <v>70</v>
      </c>
      <c r="B25" s="7" t="s">
        <v>24</v>
      </c>
      <c r="C25" s="8">
        <v>653.56</v>
      </c>
      <c r="D25" s="46"/>
      <c r="E25" s="12"/>
      <c r="F25" s="1"/>
      <c r="G25" s="1"/>
      <c r="H25" s="37"/>
      <c r="I25" s="37"/>
    </row>
    <row r="26" spans="1:9" ht="15">
      <c r="A26" s="40" t="s">
        <v>71</v>
      </c>
      <c r="B26" s="7" t="s">
        <v>25</v>
      </c>
      <c r="C26" s="8">
        <v>1633.86</v>
      </c>
      <c r="D26" s="46"/>
      <c r="E26" s="12"/>
      <c r="F26" s="1"/>
      <c r="G26" s="1"/>
      <c r="H26" s="37"/>
      <c r="I26" s="37"/>
    </row>
    <row r="27" spans="1:9" ht="15">
      <c r="A27" s="40" t="s">
        <v>72</v>
      </c>
      <c r="B27" s="7" t="s">
        <v>26</v>
      </c>
      <c r="C27" s="8"/>
      <c r="D27" s="46"/>
      <c r="E27" s="12"/>
      <c r="F27" s="1"/>
      <c r="G27" s="1"/>
      <c r="H27" s="37"/>
      <c r="I27" s="37"/>
    </row>
    <row r="28" spans="1:9" ht="15">
      <c r="A28" s="40" t="s">
        <v>73</v>
      </c>
      <c r="B28" s="7" t="s">
        <v>27</v>
      </c>
      <c r="C28" s="8"/>
      <c r="D28" s="46"/>
      <c r="E28" s="12"/>
      <c r="F28" s="1"/>
      <c r="G28" s="1"/>
      <c r="H28" s="37"/>
      <c r="I28" s="37"/>
    </row>
    <row r="29" spans="1:9" ht="15">
      <c r="A29" s="40" t="s">
        <v>74</v>
      </c>
      <c r="B29" s="7" t="s">
        <v>28</v>
      </c>
      <c r="C29" s="8">
        <v>1960.62</v>
      </c>
      <c r="D29" s="46"/>
      <c r="E29" s="12"/>
      <c r="F29" s="1"/>
      <c r="G29" s="1"/>
      <c r="H29" s="37"/>
      <c r="I29" s="37"/>
    </row>
    <row r="30" spans="1:9" ht="15">
      <c r="A30" s="40" t="s">
        <v>75</v>
      </c>
      <c r="B30" s="7" t="s">
        <v>29</v>
      </c>
      <c r="C30" s="8"/>
      <c r="D30" s="46"/>
      <c r="E30" s="12"/>
      <c r="F30" s="1"/>
      <c r="G30" s="1"/>
      <c r="H30" s="37"/>
      <c r="I30" s="37"/>
    </row>
    <row r="31" spans="1:9" ht="15">
      <c r="A31" s="40" t="s">
        <v>76</v>
      </c>
      <c r="B31" s="7" t="s">
        <v>30</v>
      </c>
      <c r="C31" s="8"/>
      <c r="D31" s="46"/>
      <c r="E31" s="12"/>
      <c r="F31" s="1"/>
      <c r="G31" s="1"/>
      <c r="H31" s="37"/>
      <c r="I31" s="37"/>
    </row>
    <row r="32" spans="1:9" ht="15">
      <c r="A32" s="40" t="s">
        <v>77</v>
      </c>
      <c r="B32" s="7" t="s">
        <v>31</v>
      </c>
      <c r="C32" s="8">
        <v>326.78</v>
      </c>
      <c r="D32" s="46"/>
      <c r="E32" s="12"/>
      <c r="F32" s="1"/>
      <c r="G32" s="1"/>
      <c r="H32" s="37"/>
      <c r="I32" s="37"/>
    </row>
    <row r="33" spans="1:9" ht="15">
      <c r="A33" s="40" t="s">
        <v>78</v>
      </c>
      <c r="B33" s="7" t="s">
        <v>32</v>
      </c>
      <c r="C33" s="8">
        <v>2287.46</v>
      </c>
      <c r="D33" s="46"/>
      <c r="E33" s="12"/>
      <c r="F33" s="1"/>
      <c r="G33" s="1"/>
      <c r="H33" s="37"/>
      <c r="I33" s="37"/>
    </row>
    <row r="34" spans="1:9" ht="15">
      <c r="A34" s="40" t="s">
        <v>80</v>
      </c>
      <c r="B34" s="7" t="s">
        <v>33</v>
      </c>
      <c r="C34" s="8">
        <v>653.56</v>
      </c>
      <c r="D34" s="46"/>
      <c r="E34" s="12"/>
      <c r="F34" s="1"/>
      <c r="G34" s="1"/>
      <c r="H34" s="37"/>
      <c r="I34" s="37"/>
    </row>
    <row r="35" spans="1:9" ht="15">
      <c r="A35" s="40" t="s">
        <v>81</v>
      </c>
      <c r="B35" s="7" t="s">
        <v>34</v>
      </c>
      <c r="C35" s="8"/>
      <c r="D35" s="46"/>
      <c r="E35" s="12"/>
      <c r="F35" s="1"/>
      <c r="G35" s="1"/>
      <c r="H35" s="37"/>
      <c r="I35" s="37"/>
    </row>
    <row r="36" spans="1:9" ht="15">
      <c r="A36" s="40" t="s">
        <v>82</v>
      </c>
      <c r="B36" s="7" t="s">
        <v>87</v>
      </c>
      <c r="C36" s="8"/>
      <c r="D36" s="46"/>
      <c r="E36" s="12"/>
      <c r="F36" s="1"/>
      <c r="G36" s="1"/>
      <c r="H36" s="37"/>
      <c r="I36" s="37"/>
    </row>
    <row r="37" spans="1:9" ht="15">
      <c r="A37" s="40" t="s">
        <v>83</v>
      </c>
      <c r="B37" s="7" t="s">
        <v>89</v>
      </c>
      <c r="C37" s="8">
        <v>980.34</v>
      </c>
      <c r="D37" s="46"/>
      <c r="E37" s="12"/>
      <c r="F37" s="1"/>
      <c r="G37" s="1"/>
      <c r="H37" s="37"/>
      <c r="I37" s="37"/>
    </row>
    <row r="38" spans="1:9" ht="15">
      <c r="A38" s="40" t="s">
        <v>84</v>
      </c>
      <c r="B38" s="7" t="s">
        <v>90</v>
      </c>
      <c r="C38" s="8">
        <v>1307.12</v>
      </c>
      <c r="D38" s="46"/>
      <c r="E38" s="12"/>
      <c r="F38" s="1"/>
      <c r="G38" s="1"/>
      <c r="H38" s="37"/>
      <c r="I38" s="37"/>
    </row>
    <row r="39" spans="1:9" ht="15">
      <c r="A39" s="40" t="s">
        <v>85</v>
      </c>
      <c r="B39" s="7" t="s">
        <v>93</v>
      </c>
      <c r="C39" s="8"/>
      <c r="D39" s="46"/>
      <c r="E39" s="12"/>
      <c r="F39" s="1"/>
      <c r="G39" s="1"/>
      <c r="H39" s="37"/>
      <c r="I39" s="37"/>
    </row>
    <row r="40" spans="1:9" ht="15">
      <c r="A40" s="40" t="s">
        <v>86</v>
      </c>
      <c r="B40" s="56" t="s">
        <v>94</v>
      </c>
      <c r="C40" s="8">
        <v>326.78</v>
      </c>
      <c r="D40" s="46"/>
      <c r="E40" s="12"/>
      <c r="F40" s="1"/>
      <c r="G40" s="1"/>
      <c r="H40" s="37"/>
      <c r="I40" s="37"/>
    </row>
    <row r="41" spans="1:9" ht="15">
      <c r="A41" s="40" t="s">
        <v>91</v>
      </c>
      <c r="B41" s="56" t="s">
        <v>98</v>
      </c>
      <c r="C41" s="8"/>
      <c r="D41" s="46"/>
      <c r="E41" s="12"/>
      <c r="F41" s="1"/>
      <c r="G41" s="1"/>
      <c r="H41" s="37"/>
      <c r="I41" s="37"/>
    </row>
    <row r="42" spans="1:9" ht="15">
      <c r="A42" s="40" t="s">
        <v>115</v>
      </c>
      <c r="B42" s="7" t="s">
        <v>113</v>
      </c>
      <c r="C42" s="8"/>
      <c r="D42" s="46"/>
      <c r="E42" s="12"/>
      <c r="F42" s="1"/>
      <c r="G42" s="1"/>
      <c r="H42" s="37"/>
      <c r="I42" s="37"/>
    </row>
    <row r="43" spans="1:9" ht="15.75" thickBot="1">
      <c r="A43" s="40" t="s">
        <v>116</v>
      </c>
      <c r="B43" s="7" t="s">
        <v>114</v>
      </c>
      <c r="C43" s="8"/>
      <c r="D43" s="46"/>
      <c r="E43" s="12"/>
      <c r="F43" s="1"/>
      <c r="G43" s="1"/>
      <c r="H43" s="37"/>
      <c r="I43" s="37"/>
    </row>
    <row r="44" spans="1:9" ht="15.75" thickBot="1">
      <c r="A44" s="54"/>
      <c r="B44" s="55" t="s">
        <v>35</v>
      </c>
      <c r="C44" s="93">
        <f>SUM(C6:C41)</f>
        <v>17319.24</v>
      </c>
      <c r="D44" s="12"/>
      <c r="E44" s="12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9"/>
      <c r="D46" s="1"/>
      <c r="E46" s="1"/>
      <c r="F46" s="1"/>
      <c r="G46" s="1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6"/>
  <sheetViews>
    <sheetView workbookViewId="0" topLeftCell="A16">
      <selection activeCell="D21" sqref="D21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6" ht="15">
      <c r="A3" s="81" t="s">
        <v>128</v>
      </c>
      <c r="B3" s="81"/>
      <c r="C3" s="81"/>
      <c r="D3" s="81"/>
      <c r="E3" s="81"/>
      <c r="F3" s="81"/>
    </row>
    <row r="4" spans="1:6" ht="14.25">
      <c r="A4" s="106"/>
      <c r="B4" s="106"/>
      <c r="C4" s="106"/>
      <c r="D4" s="43"/>
      <c r="E4" s="37"/>
      <c r="F4" s="37"/>
    </row>
    <row r="5" spans="1:6" ht="45">
      <c r="A5" s="49" t="s">
        <v>0</v>
      </c>
      <c r="B5" s="49" t="s">
        <v>1</v>
      </c>
      <c r="C5" s="51" t="s">
        <v>96</v>
      </c>
      <c r="D5" s="51" t="s">
        <v>97</v>
      </c>
      <c r="E5" s="37"/>
      <c r="F5" s="37"/>
    </row>
    <row r="6" spans="1:12" ht="15">
      <c r="A6" s="40" t="s">
        <v>79</v>
      </c>
      <c r="B6" s="7" t="s">
        <v>6</v>
      </c>
      <c r="C6" s="8"/>
      <c r="D6" s="6"/>
      <c r="E6" s="37"/>
      <c r="F6" s="37"/>
      <c r="G6" s="3"/>
      <c r="H6" s="3"/>
      <c r="I6" s="3"/>
      <c r="J6" s="3"/>
      <c r="K6" s="3"/>
      <c r="L6" s="3"/>
    </row>
    <row r="7" spans="1:12" ht="15">
      <c r="A7" s="40" t="s">
        <v>52</v>
      </c>
      <c r="B7" s="7" t="s">
        <v>39</v>
      </c>
      <c r="C7" s="47"/>
      <c r="D7" s="6"/>
      <c r="E7" s="37"/>
      <c r="F7" s="37"/>
      <c r="G7" s="3"/>
      <c r="H7" s="3"/>
      <c r="I7" s="3"/>
      <c r="J7" s="3"/>
      <c r="K7" s="3"/>
      <c r="L7" s="3"/>
    </row>
    <row r="8" spans="1:12" ht="15">
      <c r="A8" s="40" t="s">
        <v>53</v>
      </c>
      <c r="B8" s="7" t="s">
        <v>8</v>
      </c>
      <c r="C8" s="8"/>
      <c r="D8" s="6"/>
      <c r="E8" s="37"/>
      <c r="F8" s="37"/>
      <c r="G8" s="3"/>
      <c r="H8" s="3"/>
      <c r="I8" s="3"/>
      <c r="J8" s="3"/>
      <c r="K8" s="3"/>
      <c r="L8" s="3"/>
    </row>
    <row r="9" spans="1:12" ht="15">
      <c r="A9" s="40" t="s">
        <v>54</v>
      </c>
      <c r="B9" s="7" t="s">
        <v>9</v>
      </c>
      <c r="C9" s="8"/>
      <c r="D9" s="6"/>
      <c r="E9" s="37"/>
      <c r="F9" s="37"/>
      <c r="G9" s="3"/>
      <c r="H9" s="3"/>
      <c r="I9" s="3"/>
      <c r="J9" s="3"/>
      <c r="K9" s="3"/>
      <c r="L9" s="3"/>
    </row>
    <row r="10" spans="1:12" ht="15">
      <c r="A10" s="40" t="s">
        <v>55</v>
      </c>
      <c r="B10" s="7" t="s">
        <v>10</v>
      </c>
      <c r="C10" s="8"/>
      <c r="D10" s="6"/>
      <c r="E10" s="37"/>
      <c r="F10" s="37"/>
      <c r="G10" s="3"/>
      <c r="H10" s="3"/>
      <c r="I10" s="3"/>
      <c r="J10" s="3"/>
      <c r="K10" s="3"/>
      <c r="L10" s="3"/>
    </row>
    <row r="11" spans="1:12" ht="15">
      <c r="A11" s="40" t="s">
        <v>56</v>
      </c>
      <c r="B11" s="7" t="s">
        <v>11</v>
      </c>
      <c r="C11" s="8"/>
      <c r="D11" s="6"/>
      <c r="E11" s="37"/>
      <c r="F11" s="37"/>
      <c r="G11" s="3"/>
      <c r="H11" s="3"/>
      <c r="I11" s="3"/>
      <c r="J11" s="3"/>
      <c r="K11" s="3"/>
      <c r="L11" s="3"/>
    </row>
    <row r="12" spans="1:12" ht="15">
      <c r="A12" s="40" t="s">
        <v>57</v>
      </c>
      <c r="B12" s="7" t="s">
        <v>12</v>
      </c>
      <c r="C12" s="8"/>
      <c r="D12" s="6"/>
      <c r="E12" s="37"/>
      <c r="F12" s="37"/>
      <c r="G12" s="3"/>
      <c r="H12" s="3"/>
      <c r="I12" s="3"/>
      <c r="J12" s="3"/>
      <c r="K12" s="3"/>
      <c r="L12" s="3"/>
    </row>
    <row r="13" spans="1:12" ht="15">
      <c r="A13" s="40" t="s">
        <v>58</v>
      </c>
      <c r="B13" s="7" t="s">
        <v>13</v>
      </c>
      <c r="C13" s="8"/>
      <c r="D13" s="6"/>
      <c r="E13" s="37"/>
      <c r="F13" s="37"/>
      <c r="G13" s="3"/>
      <c r="H13" s="3"/>
      <c r="I13" s="3"/>
      <c r="J13" s="3"/>
      <c r="K13" s="3"/>
      <c r="L13" s="3"/>
    </row>
    <row r="14" spans="1:12" ht="15">
      <c r="A14" s="40" t="s">
        <v>59</v>
      </c>
      <c r="B14" s="7" t="s">
        <v>112</v>
      </c>
      <c r="C14" s="8"/>
      <c r="D14" s="7"/>
      <c r="E14" s="37"/>
      <c r="F14" s="37"/>
      <c r="G14" s="3"/>
      <c r="H14" s="3"/>
      <c r="I14" s="3"/>
      <c r="J14" s="3"/>
      <c r="K14" s="3"/>
      <c r="L14" s="3"/>
    </row>
    <row r="15" spans="1:12" ht="15">
      <c r="A15" s="40" t="s">
        <v>60</v>
      </c>
      <c r="B15" s="7" t="s">
        <v>14</v>
      </c>
      <c r="C15" s="8"/>
      <c r="D15" s="6"/>
      <c r="E15" s="37"/>
      <c r="F15" s="37"/>
      <c r="G15" s="3"/>
      <c r="H15" s="3"/>
      <c r="I15" s="3"/>
      <c r="J15" s="3"/>
      <c r="K15" s="3"/>
      <c r="L15" s="3"/>
    </row>
    <row r="16" spans="1:12" ht="15">
      <c r="A16" s="40" t="s">
        <v>61</v>
      </c>
      <c r="B16" s="7" t="s">
        <v>15</v>
      </c>
      <c r="C16" s="8">
        <v>9465.81</v>
      </c>
      <c r="D16" s="6"/>
      <c r="E16" s="37"/>
      <c r="F16" s="37"/>
      <c r="G16" s="3"/>
      <c r="H16" s="3"/>
      <c r="I16" s="3"/>
      <c r="J16" s="3"/>
      <c r="K16" s="3"/>
      <c r="L16" s="3"/>
    </row>
    <row r="17" spans="1:12" ht="15">
      <c r="A17" s="40" t="s">
        <v>62</v>
      </c>
      <c r="B17" s="7" t="s">
        <v>40</v>
      </c>
      <c r="C17" s="8"/>
      <c r="D17" s="6"/>
      <c r="E17" s="37"/>
      <c r="F17" s="37"/>
      <c r="G17" s="3"/>
      <c r="H17" s="3"/>
      <c r="I17" s="3"/>
      <c r="J17" s="3"/>
      <c r="K17" s="3"/>
      <c r="L17" s="3"/>
    </row>
    <row r="18" spans="1:12" ht="15">
      <c r="A18" s="40" t="s">
        <v>63</v>
      </c>
      <c r="B18" s="7" t="s">
        <v>17</v>
      </c>
      <c r="C18" s="8"/>
      <c r="D18" s="6"/>
      <c r="E18" s="37"/>
      <c r="F18" s="37"/>
      <c r="G18" s="3"/>
      <c r="H18" s="3"/>
      <c r="I18" s="3"/>
      <c r="J18" s="3"/>
      <c r="K18" s="3"/>
      <c r="L18" s="3"/>
    </row>
    <row r="19" spans="1:12" ht="15">
      <c r="A19" s="40" t="s">
        <v>64</v>
      </c>
      <c r="B19" s="7" t="s">
        <v>18</v>
      </c>
      <c r="C19" s="8"/>
      <c r="D19" s="6"/>
      <c r="E19" s="37"/>
      <c r="F19" s="37"/>
      <c r="G19" s="3"/>
      <c r="H19" s="3"/>
      <c r="I19" s="3"/>
      <c r="J19" s="3"/>
      <c r="K19" s="3"/>
      <c r="L19" s="3"/>
    </row>
    <row r="20" spans="1:12" ht="15">
      <c r="A20" s="40" t="s">
        <v>65</v>
      </c>
      <c r="B20" s="7" t="s">
        <v>19</v>
      </c>
      <c r="C20" s="8">
        <v>6856.2</v>
      </c>
      <c r="D20" s="7">
        <v>5618.84</v>
      </c>
      <c r="E20" s="37"/>
      <c r="F20" s="37"/>
      <c r="G20" s="3"/>
      <c r="H20" s="3"/>
      <c r="I20" s="3"/>
      <c r="J20" s="3"/>
      <c r="K20" s="3"/>
      <c r="L20" s="3"/>
    </row>
    <row r="21" spans="1:12" ht="15">
      <c r="A21" s="40" t="s">
        <v>66</v>
      </c>
      <c r="B21" s="7" t="s">
        <v>20</v>
      </c>
      <c r="C21" s="8"/>
      <c r="D21" s="6"/>
      <c r="E21" s="37"/>
      <c r="F21" s="37"/>
      <c r="G21" s="3"/>
      <c r="H21" s="3"/>
      <c r="I21" s="3"/>
      <c r="J21" s="3"/>
      <c r="K21" s="3"/>
      <c r="L21" s="3"/>
    </row>
    <row r="22" spans="1:12" ht="15">
      <c r="A22" s="40" t="s">
        <v>67</v>
      </c>
      <c r="B22" s="7" t="s">
        <v>21</v>
      </c>
      <c r="C22" s="8"/>
      <c r="D22" s="6"/>
      <c r="E22" s="37"/>
      <c r="F22" s="37"/>
      <c r="G22" s="3"/>
      <c r="H22" s="3"/>
      <c r="I22" s="3"/>
      <c r="J22" s="3"/>
      <c r="K22" s="3"/>
      <c r="L22" s="3"/>
    </row>
    <row r="23" spans="1:12" ht="15">
      <c r="A23" s="40" t="s">
        <v>68</v>
      </c>
      <c r="B23" s="7" t="s">
        <v>22</v>
      </c>
      <c r="C23" s="8"/>
      <c r="D23" s="6"/>
      <c r="E23" s="37"/>
      <c r="F23" s="37"/>
      <c r="G23" s="3"/>
      <c r="H23" s="3"/>
      <c r="I23" s="3"/>
      <c r="J23" s="3"/>
      <c r="K23" s="3"/>
      <c r="L23" s="3"/>
    </row>
    <row r="24" spans="1:12" ht="15">
      <c r="A24" s="40" t="s">
        <v>69</v>
      </c>
      <c r="B24" s="7" t="s">
        <v>23</v>
      </c>
      <c r="C24" s="8"/>
      <c r="D24" s="6"/>
      <c r="E24" s="37"/>
      <c r="F24" s="37"/>
      <c r="G24" s="3"/>
      <c r="H24" s="3"/>
      <c r="I24" s="3"/>
      <c r="J24" s="3"/>
      <c r="K24" s="3"/>
      <c r="L24" s="3"/>
    </row>
    <row r="25" spans="1:12" ht="15">
      <c r="A25" s="40" t="s">
        <v>70</v>
      </c>
      <c r="B25" s="7" t="s">
        <v>24</v>
      </c>
      <c r="C25" s="8"/>
      <c r="D25" s="6"/>
      <c r="E25" s="37"/>
      <c r="F25" s="37"/>
      <c r="G25" s="3"/>
      <c r="H25" s="3"/>
      <c r="I25" s="3"/>
      <c r="J25" s="3"/>
      <c r="K25" s="3"/>
      <c r="L25" s="3"/>
    </row>
    <row r="26" spans="1:12" ht="15">
      <c r="A26" s="40" t="s">
        <v>71</v>
      </c>
      <c r="B26" s="7" t="s">
        <v>25</v>
      </c>
      <c r="C26" s="8"/>
      <c r="D26" s="7"/>
      <c r="E26" s="37"/>
      <c r="F26" s="37"/>
      <c r="G26" s="3"/>
      <c r="H26" s="3"/>
      <c r="I26" s="3"/>
      <c r="J26" s="3"/>
      <c r="K26" s="3"/>
      <c r="L26" s="3"/>
    </row>
    <row r="27" spans="1:12" ht="15">
      <c r="A27" s="40" t="s">
        <v>72</v>
      </c>
      <c r="B27" s="7" t="s">
        <v>26</v>
      </c>
      <c r="C27" s="8"/>
      <c r="D27" s="6"/>
      <c r="E27" s="37"/>
      <c r="F27" s="37"/>
      <c r="G27" s="3"/>
      <c r="H27" s="3"/>
      <c r="I27" s="3"/>
      <c r="J27" s="3"/>
      <c r="K27" s="3"/>
      <c r="L27" s="3"/>
    </row>
    <row r="28" spans="1:12" ht="15">
      <c r="A28" s="40" t="s">
        <v>73</v>
      </c>
      <c r="B28" s="7" t="s">
        <v>27</v>
      </c>
      <c r="C28" s="8"/>
      <c r="D28" s="6"/>
      <c r="E28" s="37"/>
      <c r="F28" s="37"/>
      <c r="G28" s="3"/>
      <c r="H28" s="3"/>
      <c r="I28" s="3"/>
      <c r="J28" s="3"/>
      <c r="K28" s="3"/>
      <c r="L28" s="3"/>
    </row>
    <row r="29" spans="1:12" ht="15">
      <c r="A29" s="40" t="s">
        <v>74</v>
      </c>
      <c r="B29" s="7" t="s">
        <v>28</v>
      </c>
      <c r="C29" s="8">
        <v>337.68</v>
      </c>
      <c r="D29" s="7"/>
      <c r="E29" s="37"/>
      <c r="F29" s="37"/>
      <c r="G29" s="3"/>
      <c r="H29" s="3"/>
      <c r="I29" s="3"/>
      <c r="J29" s="3"/>
      <c r="K29" s="3"/>
      <c r="L29" s="3"/>
    </row>
    <row r="30" spans="1:12" ht="15">
      <c r="A30" s="40" t="s">
        <v>75</v>
      </c>
      <c r="B30" s="7" t="s">
        <v>29</v>
      </c>
      <c r="C30" s="8"/>
      <c r="D30" s="6"/>
      <c r="E30" s="37"/>
      <c r="F30" s="37"/>
      <c r="G30" s="3"/>
      <c r="H30" s="3"/>
      <c r="I30" s="3"/>
      <c r="J30" s="3"/>
      <c r="K30" s="3"/>
      <c r="L30" s="3"/>
    </row>
    <row r="31" spans="1:12" ht="15">
      <c r="A31" s="40" t="s">
        <v>76</v>
      </c>
      <c r="B31" s="7" t="s">
        <v>30</v>
      </c>
      <c r="C31" s="8"/>
      <c r="D31" s="6"/>
      <c r="E31" s="37"/>
      <c r="F31" s="37"/>
      <c r="G31" s="3"/>
      <c r="H31" s="3"/>
      <c r="I31" s="3"/>
      <c r="J31" s="3"/>
      <c r="K31" s="3"/>
      <c r="L31" s="3"/>
    </row>
    <row r="32" spans="1:12" ht="15">
      <c r="A32" s="40" t="s">
        <v>77</v>
      </c>
      <c r="B32" s="7" t="s">
        <v>31</v>
      </c>
      <c r="C32" s="8"/>
      <c r="D32" s="6"/>
      <c r="E32" s="37"/>
      <c r="F32" s="37"/>
      <c r="G32" s="3"/>
      <c r="H32" s="3"/>
      <c r="I32" s="3"/>
      <c r="J32" s="3"/>
      <c r="K32" s="3"/>
      <c r="L32" s="3"/>
    </row>
    <row r="33" spans="1:12" ht="15">
      <c r="A33" s="40" t="s">
        <v>78</v>
      </c>
      <c r="B33" s="7" t="s">
        <v>32</v>
      </c>
      <c r="C33" s="8"/>
      <c r="D33" s="7"/>
      <c r="E33" s="37"/>
      <c r="F33" s="37"/>
      <c r="G33" s="3"/>
      <c r="H33" s="3"/>
      <c r="I33" s="3"/>
      <c r="J33" s="3"/>
      <c r="K33" s="3"/>
      <c r="L33" s="3"/>
    </row>
    <row r="34" spans="1:12" ht="15">
      <c r="A34" s="40" t="s">
        <v>80</v>
      </c>
      <c r="B34" s="7" t="s">
        <v>33</v>
      </c>
      <c r="C34" s="8"/>
      <c r="D34" s="6"/>
      <c r="E34" s="37"/>
      <c r="F34" s="37"/>
      <c r="G34" s="3"/>
      <c r="H34" s="3"/>
      <c r="I34" s="3"/>
      <c r="J34" s="3"/>
      <c r="K34" s="3"/>
      <c r="L34" s="3"/>
    </row>
    <row r="35" spans="1:12" ht="15">
      <c r="A35" s="40" t="s">
        <v>81</v>
      </c>
      <c r="B35" s="7" t="s">
        <v>34</v>
      </c>
      <c r="C35" s="8"/>
      <c r="D35" s="6"/>
      <c r="E35" s="37"/>
      <c r="F35" s="37"/>
      <c r="G35" s="3"/>
      <c r="H35" s="3"/>
      <c r="I35" s="3"/>
      <c r="J35" s="3"/>
      <c r="K35" s="3"/>
      <c r="L35" s="3"/>
    </row>
    <row r="36" spans="1:12" ht="15">
      <c r="A36" s="40" t="s">
        <v>82</v>
      </c>
      <c r="B36" s="7" t="s">
        <v>87</v>
      </c>
      <c r="C36" s="8"/>
      <c r="D36" s="6"/>
      <c r="E36" s="37"/>
      <c r="F36" s="37"/>
      <c r="G36" s="3"/>
      <c r="H36" s="3"/>
      <c r="I36" s="3"/>
      <c r="J36" s="3"/>
      <c r="K36" s="3"/>
      <c r="L36" s="3"/>
    </row>
    <row r="37" spans="1:12" ht="15">
      <c r="A37" s="40" t="s">
        <v>83</v>
      </c>
      <c r="B37" s="7" t="s">
        <v>89</v>
      </c>
      <c r="C37" s="8"/>
      <c r="D37" s="7">
        <v>2760.7</v>
      </c>
      <c r="E37" s="37"/>
      <c r="F37" s="37"/>
      <c r="G37" s="3"/>
      <c r="H37" s="3"/>
      <c r="I37" s="3"/>
      <c r="J37" s="3"/>
      <c r="K37" s="3"/>
      <c r="L37" s="3"/>
    </row>
    <row r="38" spans="1:12" ht="15">
      <c r="A38" s="40" t="s">
        <v>84</v>
      </c>
      <c r="B38" s="7" t="s">
        <v>90</v>
      </c>
      <c r="C38" s="47"/>
      <c r="D38" s="6"/>
      <c r="E38" s="37"/>
      <c r="F38" s="37"/>
      <c r="G38" s="3"/>
      <c r="H38" s="3"/>
      <c r="I38" s="3"/>
      <c r="J38" s="3"/>
      <c r="K38" s="3"/>
      <c r="L38" s="3"/>
    </row>
    <row r="39" spans="1:12" ht="15">
      <c r="A39" s="40" t="s">
        <v>85</v>
      </c>
      <c r="B39" s="7" t="s">
        <v>93</v>
      </c>
      <c r="C39" s="47"/>
      <c r="D39" s="6"/>
      <c r="E39" s="37"/>
      <c r="F39" s="37"/>
      <c r="G39" s="3"/>
      <c r="H39" s="3"/>
      <c r="I39" s="3"/>
      <c r="J39" s="3"/>
      <c r="K39" s="3"/>
      <c r="L39" s="3"/>
    </row>
    <row r="40" spans="1:12" ht="15">
      <c r="A40" s="40" t="s">
        <v>86</v>
      </c>
      <c r="B40" s="7" t="s">
        <v>94</v>
      </c>
      <c r="C40" s="47"/>
      <c r="D40" s="6"/>
      <c r="E40" s="37"/>
      <c r="F40" s="37"/>
      <c r="G40" s="3"/>
      <c r="H40" s="3"/>
      <c r="I40" s="3"/>
      <c r="J40" s="3"/>
      <c r="K40" s="3"/>
      <c r="L40" s="3"/>
    </row>
    <row r="41" spans="1:12" ht="15">
      <c r="A41" s="40" t="s">
        <v>91</v>
      </c>
      <c r="B41" s="7" t="s">
        <v>98</v>
      </c>
      <c r="C41" s="47"/>
      <c r="D41" s="6"/>
      <c r="E41" s="37"/>
      <c r="F41" s="37"/>
      <c r="G41" s="3"/>
      <c r="H41" s="3"/>
      <c r="I41" s="3"/>
      <c r="J41" s="3"/>
      <c r="K41" s="3"/>
      <c r="L41" s="3"/>
    </row>
    <row r="42" spans="1:12" ht="15">
      <c r="A42" s="40" t="s">
        <v>115</v>
      </c>
      <c r="B42" s="7" t="s">
        <v>113</v>
      </c>
      <c r="C42" s="47"/>
      <c r="D42" s="6"/>
      <c r="E42" s="37"/>
      <c r="F42" s="37"/>
      <c r="G42" s="3"/>
      <c r="H42" s="3"/>
      <c r="I42" s="3"/>
      <c r="J42" s="3"/>
      <c r="K42" s="3"/>
      <c r="L42" s="3"/>
    </row>
    <row r="43" spans="1:12" ht="15.75" thickBot="1">
      <c r="A43" s="40" t="s">
        <v>116</v>
      </c>
      <c r="B43" s="7" t="s">
        <v>114</v>
      </c>
      <c r="C43" s="47"/>
      <c r="D43" s="6"/>
      <c r="E43" s="37"/>
      <c r="F43" s="37"/>
      <c r="G43" s="3"/>
      <c r="H43" s="3"/>
      <c r="I43" s="3"/>
      <c r="J43" s="3"/>
      <c r="K43" s="3"/>
      <c r="L43" s="3"/>
    </row>
    <row r="44" spans="1:12" ht="15.75" thickBot="1">
      <c r="A44" s="66"/>
      <c r="B44" s="67" t="s">
        <v>35</v>
      </c>
      <c r="C44" s="94">
        <f>SUM(C6:C41)</f>
        <v>16659.69</v>
      </c>
      <c r="D44" s="93">
        <f>SUM(D6:D41)</f>
        <v>8379.54</v>
      </c>
      <c r="E44" s="37"/>
      <c r="F44" s="37"/>
      <c r="G44" s="3"/>
      <c r="H44" s="3"/>
      <c r="I44" s="3"/>
      <c r="J44" s="3"/>
      <c r="K44" s="3"/>
      <c r="L44" s="3"/>
    </row>
    <row r="45" spans="1:12" ht="14.25">
      <c r="A45" s="37"/>
      <c r="B45" s="37"/>
      <c r="C45" s="37"/>
      <c r="D45" s="1"/>
      <c r="E45" s="37"/>
      <c r="F45" s="37"/>
      <c r="G45" s="3"/>
      <c r="H45" s="3"/>
      <c r="I45" s="3"/>
      <c r="J45" s="3"/>
      <c r="K45" s="3"/>
      <c r="L45" s="3"/>
    </row>
    <row r="46" spans="1:6" ht="14.25">
      <c r="A46" s="37"/>
      <c r="B46" s="37"/>
      <c r="C46" s="37"/>
      <c r="D46" s="37"/>
      <c r="E46" s="37"/>
      <c r="F46" s="37"/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6"/>
  <sheetViews>
    <sheetView workbookViewId="0" topLeftCell="A10">
      <selection activeCell="D7" sqref="D7:D44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</cols>
  <sheetData>
    <row r="3" spans="1:7" ht="15" customHeight="1">
      <c r="A3" s="102" t="s">
        <v>118</v>
      </c>
      <c r="B3" s="102"/>
      <c r="C3" s="102"/>
      <c r="D3" s="102"/>
      <c r="E3" s="102"/>
      <c r="F3" s="102"/>
      <c r="G3" s="103"/>
    </row>
    <row r="4" spans="1:6" ht="15">
      <c r="A4" s="35"/>
      <c r="B4" s="36"/>
      <c r="C4" s="36"/>
      <c r="D4" s="35"/>
      <c r="E4" s="35"/>
      <c r="F4" s="35"/>
    </row>
    <row r="5" spans="1:6" ht="15" thickBot="1">
      <c r="A5" s="37"/>
      <c r="B5" s="37"/>
      <c r="C5" s="38"/>
      <c r="D5" s="37"/>
      <c r="E5" s="39"/>
      <c r="F5" s="37"/>
    </row>
    <row r="6" spans="1:6" ht="46.5" customHeight="1" thickBot="1">
      <c r="A6" s="62" t="s">
        <v>0</v>
      </c>
      <c r="B6" s="63" t="s">
        <v>1</v>
      </c>
      <c r="C6" s="64" t="s">
        <v>36</v>
      </c>
      <c r="D6" s="64" t="s">
        <v>37</v>
      </c>
      <c r="E6" s="65" t="s">
        <v>38</v>
      </c>
      <c r="F6" s="37"/>
    </row>
    <row r="7" spans="1:9" ht="15">
      <c r="A7" s="58" t="s">
        <v>79</v>
      </c>
      <c r="B7" s="59" t="s">
        <v>6</v>
      </c>
      <c r="C7" s="60">
        <v>6892.87</v>
      </c>
      <c r="D7" s="60">
        <v>5515.09</v>
      </c>
      <c r="E7" s="61">
        <f>C7+D7</f>
        <v>12407.96</v>
      </c>
      <c r="F7" s="37"/>
      <c r="H7" s="3"/>
      <c r="I7" s="3"/>
    </row>
    <row r="8" spans="1:8" ht="15">
      <c r="A8" s="40" t="s">
        <v>52</v>
      </c>
      <c r="B8" s="7" t="s">
        <v>39</v>
      </c>
      <c r="C8" s="6">
        <v>3815.2</v>
      </c>
      <c r="D8" s="6">
        <v>3052.43</v>
      </c>
      <c r="E8" s="61">
        <f aca="true" t="shared" si="0" ref="E8:E44">C8+D8</f>
        <v>6867.629999999999</v>
      </c>
      <c r="F8" s="37"/>
      <c r="H8" s="3"/>
    </row>
    <row r="9" spans="1:8" ht="15">
      <c r="A9" s="58" t="s">
        <v>53</v>
      </c>
      <c r="B9" s="7" t="s">
        <v>8</v>
      </c>
      <c r="C9" s="1">
        <v>3829.23</v>
      </c>
      <c r="D9" s="6">
        <v>3063.51</v>
      </c>
      <c r="E9" s="61">
        <f t="shared" si="0"/>
        <v>6892.74</v>
      </c>
      <c r="F9" s="37"/>
      <c r="H9" s="3"/>
    </row>
    <row r="10" spans="1:8" ht="15">
      <c r="A10" s="40" t="s">
        <v>54</v>
      </c>
      <c r="B10" s="7" t="s">
        <v>9</v>
      </c>
      <c r="C10" s="6">
        <v>0</v>
      </c>
      <c r="D10" s="6">
        <v>0</v>
      </c>
      <c r="E10" s="61">
        <f t="shared" si="0"/>
        <v>0</v>
      </c>
      <c r="F10" s="37"/>
      <c r="H10" s="3"/>
    </row>
    <row r="11" spans="1:8" ht="15">
      <c r="A11" s="58" t="s">
        <v>55</v>
      </c>
      <c r="B11" s="7" t="s">
        <v>10</v>
      </c>
      <c r="C11" s="6">
        <v>4450.3</v>
      </c>
      <c r="D11" s="6">
        <v>3555.48</v>
      </c>
      <c r="E11" s="61">
        <f t="shared" si="0"/>
        <v>8005.780000000001</v>
      </c>
      <c r="F11" s="37"/>
      <c r="H11" s="3"/>
    </row>
    <row r="12" spans="1:8" ht="15">
      <c r="A12" s="40" t="s">
        <v>56</v>
      </c>
      <c r="B12" s="7" t="s">
        <v>11</v>
      </c>
      <c r="C12" s="6">
        <v>1199.93</v>
      </c>
      <c r="D12" s="6">
        <v>959.98</v>
      </c>
      <c r="E12" s="61">
        <f t="shared" si="0"/>
        <v>2159.91</v>
      </c>
      <c r="F12" s="37"/>
      <c r="H12" s="3"/>
    </row>
    <row r="13" spans="1:8" ht="15">
      <c r="A13" s="58" t="s">
        <v>57</v>
      </c>
      <c r="B13" s="7" t="s">
        <v>12</v>
      </c>
      <c r="C13" s="6">
        <v>0</v>
      </c>
      <c r="D13" s="6">
        <v>0</v>
      </c>
      <c r="E13" s="61">
        <f t="shared" si="0"/>
        <v>0</v>
      </c>
      <c r="F13" s="37"/>
      <c r="H13" s="3"/>
    </row>
    <row r="14" spans="1:8" ht="15">
      <c r="A14" s="40" t="s">
        <v>58</v>
      </c>
      <c r="B14" s="7" t="s">
        <v>13</v>
      </c>
      <c r="C14" s="6">
        <v>5815.29</v>
      </c>
      <c r="D14" s="6">
        <v>4652.2</v>
      </c>
      <c r="E14" s="61">
        <f t="shared" si="0"/>
        <v>10467.49</v>
      </c>
      <c r="F14" s="37"/>
      <c r="H14" s="3"/>
    </row>
    <row r="15" spans="1:8" ht="15">
      <c r="A15" s="58" t="s">
        <v>59</v>
      </c>
      <c r="B15" s="7" t="s">
        <v>112</v>
      </c>
      <c r="C15" s="6">
        <v>8460.17</v>
      </c>
      <c r="D15" s="6">
        <v>6769.02</v>
      </c>
      <c r="E15" s="61">
        <f t="shared" si="0"/>
        <v>15229.19</v>
      </c>
      <c r="F15" s="37"/>
      <c r="H15" s="3"/>
    </row>
    <row r="16" spans="1:8" ht="15">
      <c r="A16" s="40" t="s">
        <v>60</v>
      </c>
      <c r="B16" s="7" t="s">
        <v>14</v>
      </c>
      <c r="C16" s="6">
        <v>493.18</v>
      </c>
      <c r="D16" s="6">
        <v>394.55</v>
      </c>
      <c r="E16" s="61">
        <f t="shared" si="0"/>
        <v>887.73</v>
      </c>
      <c r="F16" s="37"/>
      <c r="H16" s="3"/>
    </row>
    <row r="17" spans="1:8" ht="15">
      <c r="A17" s="58" t="s">
        <v>61</v>
      </c>
      <c r="B17" s="7" t="s">
        <v>15</v>
      </c>
      <c r="C17" s="6">
        <v>3291</v>
      </c>
      <c r="D17" s="6">
        <v>2632.89</v>
      </c>
      <c r="E17" s="61">
        <f t="shared" si="0"/>
        <v>5923.889999999999</v>
      </c>
      <c r="F17" s="37"/>
      <c r="H17" s="3"/>
    </row>
    <row r="18" spans="1:8" ht="15">
      <c r="A18" s="40" t="s">
        <v>62</v>
      </c>
      <c r="B18" s="7" t="s">
        <v>40</v>
      </c>
      <c r="C18" s="6">
        <v>9326.34</v>
      </c>
      <c r="D18" s="6">
        <v>7461.7</v>
      </c>
      <c r="E18" s="61">
        <f t="shared" si="0"/>
        <v>16788.04</v>
      </c>
      <c r="F18" s="37"/>
      <c r="H18" s="3"/>
    </row>
    <row r="19" spans="1:8" ht="15">
      <c r="A19" s="58" t="s">
        <v>63</v>
      </c>
      <c r="B19" s="7" t="s">
        <v>17</v>
      </c>
      <c r="C19" s="6">
        <v>4413.93</v>
      </c>
      <c r="D19" s="6">
        <v>3531.46</v>
      </c>
      <c r="E19" s="61">
        <f t="shared" si="0"/>
        <v>7945.39</v>
      </c>
      <c r="F19" s="37"/>
      <c r="H19" s="3"/>
    </row>
    <row r="20" spans="1:8" ht="15">
      <c r="A20" s="40" t="s">
        <v>64</v>
      </c>
      <c r="B20" s="7" t="s">
        <v>18</v>
      </c>
      <c r="C20" s="6">
        <v>856.07</v>
      </c>
      <c r="D20" s="6">
        <v>684.92</v>
      </c>
      <c r="E20" s="61">
        <f t="shared" si="0"/>
        <v>1540.99</v>
      </c>
      <c r="F20" s="37"/>
      <c r="H20" s="3"/>
    </row>
    <row r="21" spans="1:8" ht="15">
      <c r="A21" s="58" t="s">
        <v>65</v>
      </c>
      <c r="B21" s="7" t="s">
        <v>19</v>
      </c>
      <c r="C21" s="6">
        <v>3614.6</v>
      </c>
      <c r="D21" s="6">
        <v>2891.83</v>
      </c>
      <c r="E21" s="61">
        <f t="shared" si="0"/>
        <v>6506.43</v>
      </c>
      <c r="F21" s="37"/>
      <c r="H21" s="3"/>
    </row>
    <row r="22" spans="1:8" ht="15">
      <c r="A22" s="40" t="s">
        <v>66</v>
      </c>
      <c r="B22" s="7" t="s">
        <v>20</v>
      </c>
      <c r="C22" s="6">
        <v>4277.92</v>
      </c>
      <c r="D22" s="6">
        <v>3422.79</v>
      </c>
      <c r="E22" s="61">
        <f t="shared" si="0"/>
        <v>7700.71</v>
      </c>
      <c r="F22" s="37"/>
      <c r="H22" s="3"/>
    </row>
    <row r="23" spans="1:8" ht="15">
      <c r="A23" s="58" t="s">
        <v>67</v>
      </c>
      <c r="B23" s="7" t="s">
        <v>21</v>
      </c>
      <c r="C23" s="6">
        <v>0</v>
      </c>
      <c r="D23" s="6">
        <v>0</v>
      </c>
      <c r="E23" s="61">
        <f t="shared" si="0"/>
        <v>0</v>
      </c>
      <c r="F23" s="37"/>
      <c r="H23" s="3"/>
    </row>
    <row r="24" spans="1:8" ht="15">
      <c r="A24" s="40" t="s">
        <v>68</v>
      </c>
      <c r="B24" s="7" t="s">
        <v>22</v>
      </c>
      <c r="C24" s="6">
        <v>558.89</v>
      </c>
      <c r="D24" s="6">
        <v>447.12</v>
      </c>
      <c r="E24" s="61">
        <f t="shared" si="0"/>
        <v>1006.01</v>
      </c>
      <c r="F24" s="37"/>
      <c r="H24" s="3"/>
    </row>
    <row r="25" spans="1:8" ht="15">
      <c r="A25" s="58" t="s">
        <v>69</v>
      </c>
      <c r="B25" s="7" t="s">
        <v>23</v>
      </c>
      <c r="C25" s="6">
        <v>1365.9</v>
      </c>
      <c r="D25" s="6">
        <v>1092.7</v>
      </c>
      <c r="E25" s="61">
        <f t="shared" si="0"/>
        <v>2458.6000000000004</v>
      </c>
      <c r="F25" s="37"/>
      <c r="H25" s="3"/>
    </row>
    <row r="26" spans="1:8" ht="15">
      <c r="A26" s="40" t="s">
        <v>70</v>
      </c>
      <c r="B26" s="7" t="s">
        <v>24</v>
      </c>
      <c r="C26" s="6">
        <v>2174.74</v>
      </c>
      <c r="D26" s="6">
        <v>1739.92</v>
      </c>
      <c r="E26" s="61">
        <f t="shared" si="0"/>
        <v>3914.66</v>
      </c>
      <c r="F26" s="37"/>
      <c r="H26" s="3"/>
    </row>
    <row r="27" spans="1:8" ht="15">
      <c r="A27" s="58" t="s">
        <v>71</v>
      </c>
      <c r="B27" s="7" t="s">
        <v>25</v>
      </c>
      <c r="C27" s="6">
        <v>8113.36</v>
      </c>
      <c r="D27" s="6">
        <v>6492.02</v>
      </c>
      <c r="E27" s="61">
        <f t="shared" si="0"/>
        <v>14605.380000000001</v>
      </c>
      <c r="F27" s="37"/>
      <c r="H27" s="3"/>
    </row>
    <row r="28" spans="1:8" ht="15">
      <c r="A28" s="40" t="s">
        <v>72</v>
      </c>
      <c r="B28" s="7" t="s">
        <v>26</v>
      </c>
      <c r="C28" s="6">
        <v>630.1</v>
      </c>
      <c r="D28" s="6">
        <v>504.09</v>
      </c>
      <c r="E28" s="61">
        <f t="shared" si="0"/>
        <v>1134.19</v>
      </c>
      <c r="F28" s="37"/>
      <c r="H28" s="3"/>
    </row>
    <row r="29" spans="1:8" ht="15">
      <c r="A29" s="58" t="s">
        <v>73</v>
      </c>
      <c r="B29" s="7" t="s">
        <v>27</v>
      </c>
      <c r="C29" s="6">
        <v>2567.65</v>
      </c>
      <c r="D29" s="6">
        <v>2054.27</v>
      </c>
      <c r="E29" s="61">
        <f t="shared" si="0"/>
        <v>4621.92</v>
      </c>
      <c r="F29" s="37"/>
      <c r="H29" s="3"/>
    </row>
    <row r="30" spans="1:8" ht="15">
      <c r="A30" s="40" t="s">
        <v>74</v>
      </c>
      <c r="B30" s="7" t="s">
        <v>28</v>
      </c>
      <c r="C30" s="6">
        <v>5430.15</v>
      </c>
      <c r="D30" s="6">
        <v>4345.04</v>
      </c>
      <c r="E30" s="61">
        <f t="shared" si="0"/>
        <v>9775.189999999999</v>
      </c>
      <c r="F30" s="37"/>
      <c r="H30" s="3"/>
    </row>
    <row r="31" spans="1:8" ht="15">
      <c r="A31" s="58" t="s">
        <v>75</v>
      </c>
      <c r="B31" s="7" t="s">
        <v>29</v>
      </c>
      <c r="C31" s="6">
        <v>63.12</v>
      </c>
      <c r="D31" s="6">
        <v>50.51</v>
      </c>
      <c r="E31" s="61">
        <f t="shared" si="0"/>
        <v>113.63</v>
      </c>
      <c r="F31" s="37"/>
      <c r="H31" s="3"/>
    </row>
    <row r="32" spans="1:8" ht="15">
      <c r="A32" s="40" t="s">
        <v>76</v>
      </c>
      <c r="B32" s="7" t="s">
        <v>30</v>
      </c>
      <c r="C32" s="6">
        <v>2225.06</v>
      </c>
      <c r="D32" s="6">
        <v>1780.17</v>
      </c>
      <c r="E32" s="61">
        <f t="shared" si="0"/>
        <v>4005.23</v>
      </c>
      <c r="F32" s="37"/>
      <c r="H32" s="3"/>
    </row>
    <row r="33" spans="1:8" ht="15">
      <c r="A33" s="58" t="s">
        <v>77</v>
      </c>
      <c r="B33" s="7" t="s">
        <v>31</v>
      </c>
      <c r="C33" s="6">
        <v>2372.58</v>
      </c>
      <c r="D33" s="6">
        <v>1887.75</v>
      </c>
      <c r="E33" s="61">
        <f t="shared" si="0"/>
        <v>4260.33</v>
      </c>
      <c r="F33" s="37"/>
      <c r="H33" s="3"/>
    </row>
    <row r="34" spans="1:8" ht="15">
      <c r="A34" s="40" t="s">
        <v>78</v>
      </c>
      <c r="B34" s="7" t="s">
        <v>32</v>
      </c>
      <c r="C34" s="6">
        <v>6097.29</v>
      </c>
      <c r="D34" s="6">
        <v>4878.09</v>
      </c>
      <c r="E34" s="61">
        <f t="shared" si="0"/>
        <v>10975.380000000001</v>
      </c>
      <c r="F34" s="37"/>
      <c r="H34" s="3"/>
    </row>
    <row r="35" spans="1:8" ht="15">
      <c r="A35" s="58" t="s">
        <v>80</v>
      </c>
      <c r="B35" s="7" t="s">
        <v>33</v>
      </c>
      <c r="C35" s="6">
        <v>8627.91</v>
      </c>
      <c r="D35" s="6">
        <v>6903.16</v>
      </c>
      <c r="E35" s="61">
        <f t="shared" si="0"/>
        <v>15531.07</v>
      </c>
      <c r="F35" s="37"/>
      <c r="H35" s="3"/>
    </row>
    <row r="36" spans="1:8" ht="15">
      <c r="A36" s="40" t="s">
        <v>81</v>
      </c>
      <c r="B36" s="7" t="s">
        <v>34</v>
      </c>
      <c r="C36" s="6">
        <v>0</v>
      </c>
      <c r="D36" s="6">
        <v>0</v>
      </c>
      <c r="E36" s="61">
        <f t="shared" si="0"/>
        <v>0</v>
      </c>
      <c r="F36" s="37"/>
      <c r="H36" s="3"/>
    </row>
    <row r="37" spans="1:8" ht="15">
      <c r="A37" s="58" t="s">
        <v>82</v>
      </c>
      <c r="B37" s="7" t="s">
        <v>87</v>
      </c>
      <c r="C37" s="6">
        <v>1179.07</v>
      </c>
      <c r="D37" s="6">
        <v>943.32</v>
      </c>
      <c r="E37" s="61">
        <f t="shared" si="0"/>
        <v>2122.39</v>
      </c>
      <c r="F37" s="37"/>
      <c r="H37" s="3"/>
    </row>
    <row r="38" spans="1:8" ht="15">
      <c r="A38" s="40" t="s">
        <v>83</v>
      </c>
      <c r="B38" s="7" t="s">
        <v>89</v>
      </c>
      <c r="C38" s="6">
        <v>3214.97</v>
      </c>
      <c r="D38" s="6">
        <v>2572.09</v>
      </c>
      <c r="E38" s="61">
        <f t="shared" si="0"/>
        <v>5787.0599999999995</v>
      </c>
      <c r="F38" s="37"/>
      <c r="H38" s="3"/>
    </row>
    <row r="39" spans="1:8" ht="15">
      <c r="A39" s="58" t="s">
        <v>84</v>
      </c>
      <c r="B39" s="7" t="s">
        <v>90</v>
      </c>
      <c r="C39" s="6">
        <v>3705.07</v>
      </c>
      <c r="D39" s="6">
        <v>2964.59</v>
      </c>
      <c r="E39" s="61">
        <f t="shared" si="0"/>
        <v>6669.66</v>
      </c>
      <c r="F39" s="37"/>
      <c r="H39" s="3"/>
    </row>
    <row r="40" spans="1:8" ht="15">
      <c r="A40" s="40" t="s">
        <v>85</v>
      </c>
      <c r="B40" s="7" t="s">
        <v>93</v>
      </c>
      <c r="C40" s="6">
        <v>1256.57</v>
      </c>
      <c r="D40" s="6">
        <v>1005.29</v>
      </c>
      <c r="E40" s="61">
        <f t="shared" si="0"/>
        <v>2261.8599999999997</v>
      </c>
      <c r="F40" s="37"/>
      <c r="H40" s="3"/>
    </row>
    <row r="41" spans="1:8" ht="15">
      <c r="A41" s="58" t="s">
        <v>86</v>
      </c>
      <c r="B41" s="7" t="s">
        <v>94</v>
      </c>
      <c r="C41" s="6">
        <v>427.99</v>
      </c>
      <c r="D41" s="6">
        <v>342.42</v>
      </c>
      <c r="E41" s="61">
        <f t="shared" si="0"/>
        <v>770.4100000000001</v>
      </c>
      <c r="F41" s="37"/>
      <c r="H41" s="3"/>
    </row>
    <row r="42" spans="1:8" ht="15">
      <c r="A42" s="58" t="s">
        <v>91</v>
      </c>
      <c r="B42" s="7" t="s">
        <v>98</v>
      </c>
      <c r="C42" s="6">
        <v>1701.58</v>
      </c>
      <c r="D42" s="6">
        <v>1361.54</v>
      </c>
      <c r="E42" s="8">
        <f t="shared" si="0"/>
        <v>3063.12</v>
      </c>
      <c r="F42" s="37"/>
      <c r="H42" s="3"/>
    </row>
    <row r="43" spans="1:8" ht="15">
      <c r="A43" s="58">
        <v>37</v>
      </c>
      <c r="B43" s="7" t="s">
        <v>113</v>
      </c>
      <c r="C43" s="6">
        <v>77.76</v>
      </c>
      <c r="D43" s="6">
        <v>62.21</v>
      </c>
      <c r="E43" s="8">
        <f t="shared" si="0"/>
        <v>139.97</v>
      </c>
      <c r="F43" s="37"/>
      <c r="H43" s="3"/>
    </row>
    <row r="44" spans="1:8" ht="15.75" thickBot="1">
      <c r="A44" s="58">
        <v>38</v>
      </c>
      <c r="B44" s="7" t="s">
        <v>114</v>
      </c>
      <c r="C44" s="6">
        <v>319.13</v>
      </c>
      <c r="D44" s="6">
        <v>255.32</v>
      </c>
      <c r="E44" s="8">
        <f t="shared" si="0"/>
        <v>574.45</v>
      </c>
      <c r="F44" s="37"/>
      <c r="H44" s="3"/>
    </row>
    <row r="45" spans="1:8" ht="15.75" thickBot="1">
      <c r="A45" s="57"/>
      <c r="B45" s="90" t="s">
        <v>35</v>
      </c>
      <c r="C45" s="91">
        <f>SUM(C7:C44)</f>
        <v>112844.92</v>
      </c>
      <c r="D45" s="91">
        <f>SUM(D7:D44)</f>
        <v>90269.47</v>
      </c>
      <c r="E45" s="92">
        <f>SUM(E7:E44)</f>
        <v>203114.39000000004</v>
      </c>
      <c r="F45" s="37"/>
      <c r="H45" s="3"/>
    </row>
    <row r="46" spans="1:6" ht="14.25">
      <c r="A46" s="37"/>
      <c r="B46" s="37"/>
      <c r="C46" s="1"/>
      <c r="D46" s="1"/>
      <c r="E46" s="41"/>
      <c r="F46" s="37"/>
    </row>
    <row r="48" ht="12.75">
      <c r="D48" s="3"/>
    </row>
    <row r="49" ht="12.75">
      <c r="C49" s="3"/>
    </row>
    <row r="50" ht="12.75">
      <c r="E50" s="3"/>
    </row>
    <row r="56" ht="12.75">
      <c r="C56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3"/>
  <sheetViews>
    <sheetView workbookViewId="0" topLeftCell="A13">
      <selection activeCell="C47" sqref="C47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5" width="13.140625" style="0" bestFit="1" customWidth="1"/>
  </cols>
  <sheetData>
    <row r="3" spans="1:7" ht="15">
      <c r="A3" s="104" t="s">
        <v>119</v>
      </c>
      <c r="B3" s="104"/>
      <c r="C3" s="104"/>
      <c r="D3" s="104"/>
      <c r="E3" s="104"/>
      <c r="F3" s="104"/>
      <c r="G3" s="104"/>
    </row>
    <row r="4" spans="1:7" ht="14.25">
      <c r="A4" s="37"/>
      <c r="B4" s="37"/>
      <c r="C4" s="39"/>
      <c r="D4" s="1"/>
      <c r="E4" s="1"/>
      <c r="F4" s="37"/>
      <c r="G4" s="37"/>
    </row>
    <row r="5" spans="1:7" ht="30">
      <c r="A5" s="49" t="s">
        <v>0</v>
      </c>
      <c r="B5" s="49" t="s">
        <v>1</v>
      </c>
      <c r="C5" s="51" t="s">
        <v>41</v>
      </c>
      <c r="D5" s="1"/>
      <c r="E5" s="1"/>
      <c r="F5" s="37"/>
      <c r="G5" s="37"/>
    </row>
    <row r="6" spans="1:7" ht="15">
      <c r="A6" s="40" t="s">
        <v>79</v>
      </c>
      <c r="B6" s="7" t="s">
        <v>6</v>
      </c>
      <c r="C6" s="8">
        <v>36406.06</v>
      </c>
      <c r="D6" s="1"/>
      <c r="E6" s="1"/>
      <c r="F6" s="37"/>
      <c r="G6" s="37"/>
    </row>
    <row r="7" spans="1:7" ht="15">
      <c r="A7" s="40" t="s">
        <v>52</v>
      </c>
      <c r="B7" s="7" t="s">
        <v>39</v>
      </c>
      <c r="C7" s="8">
        <v>19165.34</v>
      </c>
      <c r="D7" s="1"/>
      <c r="E7" s="1"/>
      <c r="F7" s="37"/>
      <c r="G7" s="37"/>
    </row>
    <row r="8" spans="1:7" ht="15">
      <c r="A8" s="40" t="s">
        <v>53</v>
      </c>
      <c r="B8" s="7" t="s">
        <v>8</v>
      </c>
      <c r="C8" s="8">
        <v>6524.22</v>
      </c>
      <c r="D8" s="1"/>
      <c r="E8" s="1"/>
      <c r="F8" s="37"/>
      <c r="G8" s="37"/>
    </row>
    <row r="9" spans="1:7" ht="15">
      <c r="A9" s="40" t="s">
        <v>54</v>
      </c>
      <c r="B9" s="7" t="s">
        <v>9</v>
      </c>
      <c r="C9" s="8">
        <v>0</v>
      </c>
      <c r="D9" s="1"/>
      <c r="E9" s="1"/>
      <c r="F9" s="37"/>
      <c r="G9" s="37"/>
    </row>
    <row r="10" spans="1:7" ht="15">
      <c r="A10" s="40" t="s">
        <v>55</v>
      </c>
      <c r="B10" s="7" t="s">
        <v>10</v>
      </c>
      <c r="C10" s="8">
        <v>1301.72</v>
      </c>
      <c r="D10" s="1"/>
      <c r="E10" s="1"/>
      <c r="F10" s="37"/>
      <c r="G10" s="37"/>
    </row>
    <row r="11" spans="1:7" ht="15">
      <c r="A11" s="40" t="s">
        <v>56</v>
      </c>
      <c r="B11" s="7" t="s">
        <v>11</v>
      </c>
      <c r="C11" s="8">
        <v>14062.87</v>
      </c>
      <c r="D11" s="1"/>
      <c r="E11" s="1"/>
      <c r="F11" s="37"/>
      <c r="G11" s="37"/>
    </row>
    <row r="12" spans="1:7" ht="15">
      <c r="A12" s="40" t="s">
        <v>57</v>
      </c>
      <c r="B12" s="7" t="s">
        <v>12</v>
      </c>
      <c r="C12" s="8">
        <v>0</v>
      </c>
      <c r="D12" s="1"/>
      <c r="E12" s="1"/>
      <c r="F12" s="37"/>
      <c r="G12" s="37"/>
    </row>
    <row r="13" spans="1:7" ht="15">
      <c r="A13" s="40" t="s">
        <v>58</v>
      </c>
      <c r="B13" s="7" t="s">
        <v>13</v>
      </c>
      <c r="C13" s="8">
        <v>35446.43</v>
      </c>
      <c r="D13" s="1"/>
      <c r="E13" s="1"/>
      <c r="F13" s="37"/>
      <c r="G13" s="37"/>
    </row>
    <row r="14" spans="1:7" ht="15">
      <c r="A14" s="40" t="s">
        <v>59</v>
      </c>
      <c r="B14" s="7" t="s">
        <v>112</v>
      </c>
      <c r="C14" s="8">
        <v>31504.08</v>
      </c>
      <c r="D14" s="1"/>
      <c r="E14" s="1"/>
      <c r="F14" s="37"/>
      <c r="G14" s="37"/>
    </row>
    <row r="15" spans="1:7" ht="15">
      <c r="A15" s="40" t="s">
        <v>60</v>
      </c>
      <c r="B15" s="7" t="s">
        <v>14</v>
      </c>
      <c r="C15" s="8">
        <v>32881.94</v>
      </c>
      <c r="D15" s="1"/>
      <c r="E15" s="1"/>
      <c r="F15" s="37"/>
      <c r="G15" s="37"/>
    </row>
    <row r="16" spans="1:7" ht="15">
      <c r="A16" s="40" t="s">
        <v>61</v>
      </c>
      <c r="B16" s="7" t="s">
        <v>15</v>
      </c>
      <c r="C16" s="8">
        <v>14332.89</v>
      </c>
      <c r="D16" s="1"/>
      <c r="E16" s="1"/>
      <c r="F16" s="37"/>
      <c r="G16" s="37"/>
    </row>
    <row r="17" spans="1:7" ht="15">
      <c r="A17" s="40" t="s">
        <v>62</v>
      </c>
      <c r="B17" s="7" t="s">
        <v>40</v>
      </c>
      <c r="C17" s="8">
        <v>27542.19</v>
      </c>
      <c r="D17" s="1"/>
      <c r="E17" s="1"/>
      <c r="F17" s="37"/>
      <c r="G17" s="37"/>
    </row>
    <row r="18" spans="1:7" ht="15">
      <c r="A18" s="40" t="s">
        <v>63</v>
      </c>
      <c r="B18" s="7" t="s">
        <v>17</v>
      </c>
      <c r="C18" s="8">
        <v>10527.69</v>
      </c>
      <c r="D18" s="1"/>
      <c r="E18" s="1"/>
      <c r="F18" s="37"/>
      <c r="G18" s="37"/>
    </row>
    <row r="19" spans="1:7" ht="15">
      <c r="A19" s="40" t="s">
        <v>64</v>
      </c>
      <c r="B19" s="7" t="s">
        <v>18</v>
      </c>
      <c r="C19" s="8">
        <v>3773.21</v>
      </c>
      <c r="D19" s="1"/>
      <c r="E19" s="1"/>
      <c r="F19" s="37"/>
      <c r="G19" s="37"/>
    </row>
    <row r="20" spans="1:7" ht="15">
      <c r="A20" s="40" t="s">
        <v>65</v>
      </c>
      <c r="B20" s="7" t="s">
        <v>19</v>
      </c>
      <c r="C20" s="8">
        <v>14026.7</v>
      </c>
      <c r="D20" s="1"/>
      <c r="E20" s="1"/>
      <c r="F20" s="37"/>
      <c r="G20" s="37"/>
    </row>
    <row r="21" spans="1:7" ht="15">
      <c r="A21" s="40" t="s">
        <v>66</v>
      </c>
      <c r="B21" s="7" t="s">
        <v>20</v>
      </c>
      <c r="C21" s="8">
        <v>841.98</v>
      </c>
      <c r="D21" s="1"/>
      <c r="E21" s="1"/>
      <c r="F21" s="37"/>
      <c r="G21" s="37"/>
    </row>
    <row r="22" spans="1:7" ht="15">
      <c r="A22" s="40" t="s">
        <v>67</v>
      </c>
      <c r="B22" s="7" t="s">
        <v>21</v>
      </c>
      <c r="C22" s="8">
        <v>0</v>
      </c>
      <c r="D22" s="1"/>
      <c r="E22" s="1"/>
      <c r="F22" s="37"/>
      <c r="G22" s="37"/>
    </row>
    <row r="23" spans="1:7" ht="15">
      <c r="A23" s="40" t="s">
        <v>68</v>
      </c>
      <c r="B23" s="7" t="s">
        <v>22</v>
      </c>
      <c r="C23" s="8">
        <v>150.9</v>
      </c>
      <c r="D23" s="1"/>
      <c r="E23" s="1"/>
      <c r="F23" s="37"/>
      <c r="G23" s="37"/>
    </row>
    <row r="24" spans="1:7" ht="15">
      <c r="A24" s="40" t="s">
        <v>69</v>
      </c>
      <c r="B24" s="7" t="s">
        <v>23</v>
      </c>
      <c r="C24" s="8">
        <v>2339.64</v>
      </c>
      <c r="D24" s="1"/>
      <c r="E24" s="1"/>
      <c r="F24" s="37"/>
      <c r="G24" s="37"/>
    </row>
    <row r="25" spans="1:7" ht="15">
      <c r="A25" s="40" t="s">
        <v>70</v>
      </c>
      <c r="B25" s="7" t="s">
        <v>24</v>
      </c>
      <c r="C25" s="8">
        <v>3431.98</v>
      </c>
      <c r="D25" s="1"/>
      <c r="E25" s="1"/>
      <c r="F25" s="37"/>
      <c r="G25" s="37"/>
    </row>
    <row r="26" spans="1:7" ht="15">
      <c r="A26" s="40" t="s">
        <v>71</v>
      </c>
      <c r="B26" s="7" t="s">
        <v>25</v>
      </c>
      <c r="C26" s="8">
        <v>27576.03</v>
      </c>
      <c r="D26" s="1"/>
      <c r="E26" s="1"/>
      <c r="F26" s="37"/>
      <c r="G26" s="37"/>
    </row>
    <row r="27" spans="1:7" ht="15">
      <c r="A27" s="40" t="s">
        <v>72</v>
      </c>
      <c r="B27" s="7" t="s">
        <v>26</v>
      </c>
      <c r="C27" s="8">
        <v>977.34</v>
      </c>
      <c r="D27" s="1"/>
      <c r="E27" s="1"/>
      <c r="F27" s="37"/>
      <c r="G27" s="37"/>
    </row>
    <row r="28" spans="1:7" ht="15">
      <c r="A28" s="40" t="s">
        <v>73</v>
      </c>
      <c r="B28" s="7" t="s">
        <v>27</v>
      </c>
      <c r="C28" s="8">
        <v>1371.04</v>
      </c>
      <c r="D28" s="1"/>
      <c r="E28" s="1"/>
      <c r="F28" s="37"/>
      <c r="G28" s="37"/>
    </row>
    <row r="29" spans="1:7" ht="15">
      <c r="A29" s="40" t="s">
        <v>74</v>
      </c>
      <c r="B29" s="7" t="s">
        <v>28</v>
      </c>
      <c r="C29" s="8">
        <v>33071.54</v>
      </c>
      <c r="D29" s="1"/>
      <c r="E29" s="1"/>
      <c r="F29" s="37"/>
      <c r="G29" s="37"/>
    </row>
    <row r="30" spans="1:7" ht="15">
      <c r="A30" s="40" t="s">
        <v>75</v>
      </c>
      <c r="B30" s="7" t="s">
        <v>29</v>
      </c>
      <c r="C30" s="8">
        <v>10044.57</v>
      </c>
      <c r="D30" s="1"/>
      <c r="E30" s="1"/>
      <c r="F30" s="37"/>
      <c r="G30" s="37"/>
    </row>
    <row r="31" spans="1:7" ht="15">
      <c r="A31" s="40" t="s">
        <v>76</v>
      </c>
      <c r="B31" s="7" t="s">
        <v>30</v>
      </c>
      <c r="C31" s="8">
        <v>5010.71</v>
      </c>
      <c r="D31" s="1"/>
      <c r="E31" s="1"/>
      <c r="F31" s="37"/>
      <c r="G31" s="37"/>
    </row>
    <row r="32" spans="1:7" ht="15">
      <c r="A32" s="40" t="s">
        <v>77</v>
      </c>
      <c r="B32" s="7" t="s">
        <v>31</v>
      </c>
      <c r="C32" s="8">
        <v>6903.37</v>
      </c>
      <c r="D32" s="1"/>
      <c r="E32" s="1"/>
      <c r="F32" s="37"/>
      <c r="G32" s="37"/>
    </row>
    <row r="33" spans="1:7" ht="15">
      <c r="A33" s="40" t="s">
        <v>78</v>
      </c>
      <c r="B33" s="7" t="s">
        <v>32</v>
      </c>
      <c r="C33" s="8">
        <v>15439.1</v>
      </c>
      <c r="D33" s="1"/>
      <c r="E33" s="1"/>
      <c r="F33" s="37"/>
      <c r="G33" s="37"/>
    </row>
    <row r="34" spans="1:7" ht="15">
      <c r="A34" s="40" t="s">
        <v>80</v>
      </c>
      <c r="B34" s="7" t="s">
        <v>33</v>
      </c>
      <c r="C34" s="8">
        <v>9373.41</v>
      </c>
      <c r="D34" s="1"/>
      <c r="E34" s="1"/>
      <c r="F34" s="37"/>
      <c r="G34" s="37"/>
    </row>
    <row r="35" spans="1:7" ht="15">
      <c r="A35" s="40" t="s">
        <v>81</v>
      </c>
      <c r="B35" s="7" t="s">
        <v>34</v>
      </c>
      <c r="C35" s="8">
        <v>0</v>
      </c>
      <c r="D35" s="1"/>
      <c r="E35" s="1"/>
      <c r="F35" s="37"/>
      <c r="G35" s="37"/>
    </row>
    <row r="36" spans="1:7" ht="15">
      <c r="A36" s="40" t="s">
        <v>82</v>
      </c>
      <c r="B36" s="7" t="s">
        <v>87</v>
      </c>
      <c r="C36" s="8">
        <v>321.65</v>
      </c>
      <c r="D36" s="1"/>
      <c r="E36" s="1"/>
      <c r="F36" s="37"/>
      <c r="G36" s="37"/>
    </row>
    <row r="37" spans="1:7" ht="15">
      <c r="A37" s="40" t="s">
        <v>83</v>
      </c>
      <c r="B37" s="7" t="s">
        <v>89</v>
      </c>
      <c r="C37" s="8">
        <v>7357.01</v>
      </c>
      <c r="D37" s="1"/>
      <c r="E37" s="1"/>
      <c r="F37" s="37"/>
      <c r="G37" s="37"/>
    </row>
    <row r="38" spans="1:7" ht="15">
      <c r="A38" s="40" t="s">
        <v>84</v>
      </c>
      <c r="B38" s="7" t="s">
        <v>90</v>
      </c>
      <c r="C38" s="8">
        <v>7884.38</v>
      </c>
      <c r="D38" s="1"/>
      <c r="E38" s="1"/>
      <c r="F38" s="37"/>
      <c r="G38" s="37"/>
    </row>
    <row r="39" spans="1:7" ht="15">
      <c r="A39" s="40" t="s">
        <v>85</v>
      </c>
      <c r="B39" s="7" t="s">
        <v>93</v>
      </c>
      <c r="C39" s="8">
        <v>593.12</v>
      </c>
      <c r="D39" s="1"/>
      <c r="E39" s="1"/>
      <c r="F39" s="37"/>
      <c r="G39" s="37"/>
    </row>
    <row r="40" spans="1:7" ht="15">
      <c r="A40" s="40" t="s">
        <v>86</v>
      </c>
      <c r="B40" s="7" t="s">
        <v>94</v>
      </c>
      <c r="C40" s="8">
        <v>829.39</v>
      </c>
      <c r="D40" s="1"/>
      <c r="E40" s="1"/>
      <c r="F40" s="37"/>
      <c r="G40" s="37"/>
    </row>
    <row r="41" spans="1:7" ht="15">
      <c r="A41" s="40" t="s">
        <v>91</v>
      </c>
      <c r="B41" s="7" t="s">
        <v>98</v>
      </c>
      <c r="C41" s="8">
        <v>110.02</v>
      </c>
      <c r="D41" s="1"/>
      <c r="E41" s="1"/>
      <c r="F41" s="37"/>
      <c r="G41" s="37"/>
    </row>
    <row r="42" spans="1:7" ht="15">
      <c r="A42" s="40" t="s">
        <v>115</v>
      </c>
      <c r="B42" s="7" t="s">
        <v>113</v>
      </c>
      <c r="C42" s="8">
        <v>75.53</v>
      </c>
      <c r="D42" s="1"/>
      <c r="E42" s="1"/>
      <c r="F42" s="37"/>
      <c r="G42" s="37"/>
    </row>
    <row r="43" spans="1:7" ht="15">
      <c r="A43" s="40" t="s">
        <v>116</v>
      </c>
      <c r="B43" s="7" t="s">
        <v>114</v>
      </c>
      <c r="C43" s="8">
        <v>1981.03</v>
      </c>
      <c r="D43" s="1"/>
      <c r="E43" s="1"/>
      <c r="F43" s="37"/>
      <c r="G43" s="37"/>
    </row>
    <row r="44" spans="1:7" ht="15">
      <c r="A44" s="52"/>
      <c r="B44" s="7" t="s">
        <v>35</v>
      </c>
      <c r="C44" s="8">
        <f>SUM(C6:C43)</f>
        <v>383179.0800000001</v>
      </c>
      <c r="D44" s="1"/>
      <c r="E44" s="1"/>
      <c r="F44" s="37"/>
      <c r="G44" s="37"/>
    </row>
    <row r="45" spans="1:7" ht="14.25">
      <c r="A45" s="37"/>
      <c r="B45" s="37"/>
      <c r="C45" s="39"/>
      <c r="D45" s="1"/>
      <c r="E45" s="1"/>
      <c r="F45" s="37"/>
      <c r="G45" s="37"/>
    </row>
    <row r="46" spans="1:7" ht="14.25">
      <c r="A46" s="37"/>
      <c r="B46" s="37"/>
      <c r="C46" s="39"/>
      <c r="D46" s="1"/>
      <c r="E46" s="37"/>
      <c r="F46" s="37"/>
      <c r="G46" s="37"/>
    </row>
    <row r="47" ht="12.75">
      <c r="C47" s="3"/>
    </row>
    <row r="48" spans="2:4" ht="12.75">
      <c r="B48" s="3"/>
      <c r="C48" s="3"/>
      <c r="D48" s="5"/>
    </row>
    <row r="49" spans="3:4" ht="12.75">
      <c r="C49" s="3"/>
      <c r="D49" s="3"/>
    </row>
    <row r="50" spans="3:4" ht="12.75">
      <c r="C50" s="3"/>
      <c r="D50" s="3"/>
    </row>
    <row r="52" spans="3:4" ht="12.75">
      <c r="C52" s="3"/>
      <c r="D52" s="3"/>
    </row>
    <row r="53" ht="12.75">
      <c r="D53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9"/>
  <sheetViews>
    <sheetView workbookViewId="0" topLeftCell="A13">
      <selection activeCell="C31" sqref="C31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105" t="s">
        <v>120</v>
      </c>
      <c r="B4" s="105"/>
      <c r="C4" s="105"/>
      <c r="D4" s="105"/>
      <c r="E4" s="105"/>
      <c r="F4" s="105"/>
      <c r="G4" s="105"/>
      <c r="H4" s="105"/>
    </row>
    <row r="5" spans="1:8" ht="14.25">
      <c r="A5" s="37"/>
      <c r="B5" s="37"/>
      <c r="C5" s="37"/>
      <c r="D5" s="42"/>
      <c r="E5" s="37"/>
      <c r="F5" s="37"/>
      <c r="G5" s="37"/>
      <c r="H5" s="37"/>
    </row>
    <row r="6" spans="1:8" ht="30">
      <c r="A6" s="49" t="s">
        <v>0</v>
      </c>
      <c r="B6" s="49" t="s">
        <v>1</v>
      </c>
      <c r="C6" s="50" t="s">
        <v>42</v>
      </c>
      <c r="D6" s="42"/>
      <c r="E6" s="37"/>
      <c r="F6" s="37"/>
      <c r="G6" s="37"/>
      <c r="H6" s="37"/>
    </row>
    <row r="7" spans="1:8" ht="15">
      <c r="A7" s="40" t="s">
        <v>79</v>
      </c>
      <c r="B7" s="7" t="s">
        <v>6</v>
      </c>
      <c r="C7" s="7">
        <v>20069.84</v>
      </c>
      <c r="D7" s="42"/>
      <c r="E7" s="37"/>
      <c r="F7" s="37"/>
      <c r="G7" s="37"/>
      <c r="H7" s="37"/>
    </row>
    <row r="8" spans="1:8" ht="15">
      <c r="A8" s="40" t="s">
        <v>52</v>
      </c>
      <c r="B8" s="7" t="s">
        <v>39</v>
      </c>
      <c r="C8" s="7">
        <v>1191.66</v>
      </c>
      <c r="D8" s="42"/>
      <c r="E8" s="37"/>
      <c r="F8" s="37"/>
      <c r="G8" s="37"/>
      <c r="H8" s="37"/>
    </row>
    <row r="9" spans="1:8" ht="15">
      <c r="A9" s="40" t="s">
        <v>53</v>
      </c>
      <c r="B9" s="7" t="s">
        <v>8</v>
      </c>
      <c r="C9" s="7"/>
      <c r="D9" s="42"/>
      <c r="E9" s="37"/>
      <c r="F9" s="37"/>
      <c r="G9" s="37"/>
      <c r="H9" s="37"/>
    </row>
    <row r="10" spans="1:8" ht="15">
      <c r="A10" s="40" t="s">
        <v>54</v>
      </c>
      <c r="B10" s="7" t="s">
        <v>9</v>
      </c>
      <c r="C10" s="7"/>
      <c r="D10" s="42"/>
      <c r="E10" s="37"/>
      <c r="F10" s="37"/>
      <c r="G10" s="37"/>
      <c r="H10" s="37"/>
    </row>
    <row r="11" spans="1:8" ht="15">
      <c r="A11" s="40" t="s">
        <v>55</v>
      </c>
      <c r="B11" s="7" t="s">
        <v>10</v>
      </c>
      <c r="C11" s="7"/>
      <c r="D11" s="42"/>
      <c r="E11" s="37"/>
      <c r="F11" s="37"/>
      <c r="G11" s="37"/>
      <c r="H11" s="37"/>
    </row>
    <row r="12" spans="1:8" ht="15">
      <c r="A12" s="40" t="s">
        <v>56</v>
      </c>
      <c r="B12" s="7" t="s">
        <v>11</v>
      </c>
      <c r="C12" s="7">
        <v>356.46</v>
      </c>
      <c r="D12" s="42"/>
      <c r="E12" s="37"/>
      <c r="F12" s="37"/>
      <c r="G12" s="37"/>
      <c r="H12" s="37"/>
    </row>
    <row r="13" spans="1:8" ht="15">
      <c r="A13" s="40" t="s">
        <v>57</v>
      </c>
      <c r="B13" s="7" t="s">
        <v>12</v>
      </c>
      <c r="C13" s="7"/>
      <c r="D13" s="42"/>
      <c r="E13" s="37"/>
      <c r="F13" s="37"/>
      <c r="G13" s="37"/>
      <c r="H13" s="37"/>
    </row>
    <row r="14" spans="1:8" ht="15">
      <c r="A14" s="40" t="s">
        <v>58</v>
      </c>
      <c r="B14" s="7" t="s">
        <v>13</v>
      </c>
      <c r="C14" s="7">
        <v>2953.71</v>
      </c>
      <c r="D14" s="42"/>
      <c r="E14" s="37"/>
      <c r="F14" s="37"/>
      <c r="G14" s="37"/>
      <c r="H14" s="37"/>
    </row>
    <row r="15" spans="1:8" ht="15">
      <c r="A15" s="40" t="s">
        <v>59</v>
      </c>
      <c r="B15" s="7" t="s">
        <v>112</v>
      </c>
      <c r="C15" s="7">
        <v>1389.09</v>
      </c>
      <c r="D15" s="42"/>
      <c r="E15" s="37"/>
      <c r="F15" s="37"/>
      <c r="G15" s="37"/>
      <c r="H15" s="37"/>
    </row>
    <row r="16" spans="1:8" ht="15">
      <c r="A16" s="40" t="s">
        <v>60</v>
      </c>
      <c r="B16" s="7" t="s">
        <v>14</v>
      </c>
      <c r="C16" s="7">
        <v>21980.32</v>
      </c>
      <c r="D16" s="42"/>
      <c r="E16" s="37"/>
      <c r="F16" s="37"/>
      <c r="G16" s="37"/>
      <c r="H16" s="37"/>
    </row>
    <row r="17" spans="1:8" ht="15">
      <c r="A17" s="40" t="s">
        <v>61</v>
      </c>
      <c r="B17" s="7" t="s">
        <v>15</v>
      </c>
      <c r="C17" s="7">
        <v>3676.24</v>
      </c>
      <c r="D17" s="42"/>
      <c r="E17" s="37"/>
      <c r="F17" s="37"/>
      <c r="G17" s="37"/>
      <c r="H17" s="37"/>
    </row>
    <row r="18" spans="1:8" ht="15">
      <c r="A18" s="40" t="s">
        <v>62</v>
      </c>
      <c r="B18" s="7" t="s">
        <v>40</v>
      </c>
      <c r="C18" s="7">
        <v>6987.53</v>
      </c>
      <c r="D18" s="42"/>
      <c r="E18" s="37"/>
      <c r="F18" s="37"/>
      <c r="G18" s="37"/>
      <c r="H18" s="37"/>
    </row>
    <row r="19" spans="1:8" ht="15">
      <c r="A19" s="40" t="s">
        <v>63</v>
      </c>
      <c r="B19" s="7" t="s">
        <v>17</v>
      </c>
      <c r="C19" s="7">
        <v>776.76</v>
      </c>
      <c r="D19" s="42"/>
      <c r="E19" s="37"/>
      <c r="F19" s="37"/>
      <c r="G19" s="37"/>
      <c r="H19" s="37"/>
    </row>
    <row r="20" spans="1:8" ht="15">
      <c r="A20" s="40" t="s">
        <v>64</v>
      </c>
      <c r="B20" s="7" t="s">
        <v>18</v>
      </c>
      <c r="C20" s="7">
        <v>2306.99</v>
      </c>
      <c r="D20" s="42"/>
      <c r="E20" s="37"/>
      <c r="F20" s="37"/>
      <c r="G20" s="37"/>
      <c r="H20" s="37"/>
    </row>
    <row r="21" spans="1:8" ht="15">
      <c r="A21" s="40" t="s">
        <v>65</v>
      </c>
      <c r="B21" s="7" t="s">
        <v>19</v>
      </c>
      <c r="C21" s="7">
        <v>7487.46</v>
      </c>
      <c r="D21" s="42"/>
      <c r="E21" s="37"/>
      <c r="F21" s="37"/>
      <c r="G21" s="37"/>
      <c r="H21" s="37"/>
    </row>
    <row r="22" spans="1:8" ht="15">
      <c r="A22" s="40" t="s">
        <v>66</v>
      </c>
      <c r="B22" s="7" t="s">
        <v>20</v>
      </c>
      <c r="C22" s="7"/>
      <c r="D22" s="42"/>
      <c r="E22" s="37"/>
      <c r="F22" s="37"/>
      <c r="G22" s="37"/>
      <c r="H22" s="37"/>
    </row>
    <row r="23" spans="1:8" ht="15">
      <c r="A23" s="40" t="s">
        <v>67</v>
      </c>
      <c r="B23" s="7" t="s">
        <v>21</v>
      </c>
      <c r="C23" s="7"/>
      <c r="D23" s="42"/>
      <c r="E23" s="37"/>
      <c r="F23" s="37"/>
      <c r="G23" s="37"/>
      <c r="H23" s="37"/>
    </row>
    <row r="24" spans="1:8" ht="15">
      <c r="A24" s="40" t="s">
        <v>68</v>
      </c>
      <c r="B24" s="7" t="s">
        <v>22</v>
      </c>
      <c r="C24" s="7"/>
      <c r="D24" s="42"/>
      <c r="E24" s="37"/>
      <c r="F24" s="37"/>
      <c r="G24" s="37"/>
      <c r="H24" s="37"/>
    </row>
    <row r="25" spans="1:8" ht="15">
      <c r="A25" s="40" t="s">
        <v>69</v>
      </c>
      <c r="B25" s="7" t="s">
        <v>23</v>
      </c>
      <c r="C25" s="7"/>
      <c r="D25" s="42"/>
      <c r="E25" s="37"/>
      <c r="F25" s="37"/>
      <c r="G25" s="37"/>
      <c r="H25" s="37"/>
    </row>
    <row r="26" spans="1:8" ht="15">
      <c r="A26" s="40" t="s">
        <v>70</v>
      </c>
      <c r="B26" s="7" t="s">
        <v>24</v>
      </c>
      <c r="C26" s="7">
        <v>3456.43</v>
      </c>
      <c r="D26" s="42"/>
      <c r="E26" s="37"/>
      <c r="F26" s="37"/>
      <c r="G26" s="37"/>
      <c r="H26" s="37"/>
    </row>
    <row r="27" spans="1:8" ht="15">
      <c r="A27" s="40" t="s">
        <v>71</v>
      </c>
      <c r="B27" s="7" t="s">
        <v>25</v>
      </c>
      <c r="C27" s="7">
        <v>6462.08</v>
      </c>
      <c r="D27" s="42"/>
      <c r="E27" s="37"/>
      <c r="F27" s="37"/>
      <c r="G27" s="37"/>
      <c r="H27" s="37"/>
    </row>
    <row r="28" spans="1:8" ht="15">
      <c r="A28" s="40" t="s">
        <v>72</v>
      </c>
      <c r="B28" s="7" t="s">
        <v>26</v>
      </c>
      <c r="C28" s="7"/>
      <c r="D28" s="42"/>
      <c r="E28" s="37"/>
      <c r="F28" s="37"/>
      <c r="G28" s="37"/>
      <c r="H28" s="37"/>
    </row>
    <row r="29" spans="1:8" ht="15">
      <c r="A29" s="40" t="s">
        <v>73</v>
      </c>
      <c r="B29" s="7" t="s">
        <v>27</v>
      </c>
      <c r="C29" s="7"/>
      <c r="D29" s="42"/>
      <c r="E29" s="37"/>
      <c r="F29" s="37"/>
      <c r="G29" s="37"/>
      <c r="H29" s="37"/>
    </row>
    <row r="30" spans="1:8" ht="15">
      <c r="A30" s="40" t="s">
        <v>74</v>
      </c>
      <c r="B30" s="7" t="s">
        <v>28</v>
      </c>
      <c r="C30" s="7">
        <v>5555.75</v>
      </c>
      <c r="D30" s="42"/>
      <c r="E30" s="37"/>
      <c r="F30" s="37"/>
      <c r="G30" s="37"/>
      <c r="H30" s="37"/>
    </row>
    <row r="31" spans="1:8" ht="15">
      <c r="A31" s="40" t="s">
        <v>75</v>
      </c>
      <c r="B31" s="7" t="s">
        <v>29</v>
      </c>
      <c r="C31" s="7">
        <v>2908.91</v>
      </c>
      <c r="D31" s="42"/>
      <c r="E31" s="37"/>
      <c r="F31" s="37"/>
      <c r="G31" s="37"/>
      <c r="H31" s="37"/>
    </row>
    <row r="32" spans="1:8" ht="15">
      <c r="A32" s="40" t="s">
        <v>76</v>
      </c>
      <c r="B32" s="7" t="s">
        <v>30</v>
      </c>
      <c r="C32" s="7">
        <v>4000</v>
      </c>
      <c r="D32" s="42"/>
      <c r="E32" s="37"/>
      <c r="F32" s="37"/>
      <c r="G32" s="37"/>
      <c r="H32" s="37"/>
    </row>
    <row r="33" spans="1:8" ht="15">
      <c r="A33" s="40" t="s">
        <v>77</v>
      </c>
      <c r="B33" s="7" t="s">
        <v>31</v>
      </c>
      <c r="C33" s="7"/>
      <c r="D33" s="42"/>
      <c r="E33" s="37"/>
      <c r="F33" s="37"/>
      <c r="G33" s="37"/>
      <c r="H33" s="37"/>
    </row>
    <row r="34" spans="1:8" ht="15">
      <c r="A34" s="40" t="s">
        <v>78</v>
      </c>
      <c r="B34" s="7" t="s">
        <v>32</v>
      </c>
      <c r="C34" s="7">
        <v>2333.16</v>
      </c>
      <c r="D34" s="42"/>
      <c r="E34" s="37"/>
      <c r="F34" s="37"/>
      <c r="G34" s="37"/>
      <c r="H34" s="37"/>
    </row>
    <row r="35" spans="1:8" ht="15">
      <c r="A35" s="40" t="s">
        <v>80</v>
      </c>
      <c r="B35" s="7" t="s">
        <v>33</v>
      </c>
      <c r="C35" s="7"/>
      <c r="D35" s="42"/>
      <c r="E35" s="37"/>
      <c r="F35" s="37"/>
      <c r="G35" s="37"/>
      <c r="H35" s="37"/>
    </row>
    <row r="36" spans="1:8" ht="15">
      <c r="A36" s="40" t="s">
        <v>81</v>
      </c>
      <c r="B36" s="7" t="s">
        <v>34</v>
      </c>
      <c r="C36" s="7"/>
      <c r="D36" s="42"/>
      <c r="E36" s="37"/>
      <c r="F36" s="37"/>
      <c r="G36" s="37"/>
      <c r="H36" s="37"/>
    </row>
    <row r="37" spans="1:8" ht="15">
      <c r="A37" s="40" t="s">
        <v>82</v>
      </c>
      <c r="B37" s="7" t="s">
        <v>87</v>
      </c>
      <c r="C37" s="7"/>
      <c r="D37" s="42"/>
      <c r="E37" s="37"/>
      <c r="F37" s="37"/>
      <c r="G37" s="37"/>
      <c r="H37" s="37"/>
    </row>
    <row r="38" spans="1:8" ht="15">
      <c r="A38" s="40" t="s">
        <v>83</v>
      </c>
      <c r="B38" s="7" t="s">
        <v>89</v>
      </c>
      <c r="C38" s="7">
        <v>1653.8</v>
      </c>
      <c r="D38" s="42"/>
      <c r="E38" s="37"/>
      <c r="F38" s="37"/>
      <c r="G38" s="37"/>
      <c r="H38" s="37"/>
    </row>
    <row r="39" spans="1:8" ht="15">
      <c r="A39" s="40" t="s">
        <v>84</v>
      </c>
      <c r="B39" s="7" t="s">
        <v>90</v>
      </c>
      <c r="C39" s="7">
        <v>3190.48</v>
      </c>
      <c r="D39" s="42"/>
      <c r="E39" s="37"/>
      <c r="F39" s="37"/>
      <c r="G39" s="37"/>
      <c r="H39" s="37"/>
    </row>
    <row r="40" spans="1:8" ht="15">
      <c r="A40" s="40" t="s">
        <v>85</v>
      </c>
      <c r="B40" s="7" t="s">
        <v>93</v>
      </c>
      <c r="C40" s="7"/>
      <c r="D40" s="42"/>
      <c r="E40" s="37"/>
      <c r="F40" s="37"/>
      <c r="G40" s="37"/>
      <c r="H40" s="37"/>
    </row>
    <row r="41" spans="1:8" ht="15">
      <c r="A41" s="40" t="s">
        <v>86</v>
      </c>
      <c r="B41" s="7" t="s">
        <v>94</v>
      </c>
      <c r="C41" s="7"/>
      <c r="D41" s="42"/>
      <c r="E41" s="37"/>
      <c r="F41" s="37"/>
      <c r="G41" s="37"/>
      <c r="H41" s="37"/>
    </row>
    <row r="42" spans="1:8" ht="15">
      <c r="A42" s="40" t="s">
        <v>91</v>
      </c>
      <c r="B42" s="7" t="s">
        <v>98</v>
      </c>
      <c r="C42" s="7"/>
      <c r="D42" s="42"/>
      <c r="E42" s="37"/>
      <c r="F42" s="37"/>
      <c r="G42" s="37"/>
      <c r="H42" s="37"/>
    </row>
    <row r="43" spans="1:8" ht="15">
      <c r="A43" s="40" t="s">
        <v>115</v>
      </c>
      <c r="B43" s="7" t="s">
        <v>113</v>
      </c>
      <c r="C43" s="7"/>
      <c r="D43" s="42"/>
      <c r="E43" s="37"/>
      <c r="F43" s="37"/>
      <c r="G43" s="37"/>
      <c r="H43" s="37"/>
    </row>
    <row r="44" spans="1:8" ht="15">
      <c r="A44" s="40" t="s">
        <v>116</v>
      </c>
      <c r="B44" s="7" t="s">
        <v>114</v>
      </c>
      <c r="C44" s="7"/>
      <c r="D44" s="42"/>
      <c r="E44" s="37"/>
      <c r="F44" s="37"/>
      <c r="G44" s="37"/>
      <c r="H44" s="37"/>
    </row>
    <row r="45" spans="1:8" ht="15">
      <c r="A45" s="52"/>
      <c r="B45" s="7" t="s">
        <v>35</v>
      </c>
      <c r="C45" s="7">
        <f>SUM(C7:C44)</f>
        <v>98736.67</v>
      </c>
      <c r="D45" s="42"/>
      <c r="E45" s="37"/>
      <c r="F45" s="37"/>
      <c r="G45" s="37"/>
      <c r="H45" s="37"/>
    </row>
    <row r="46" spans="1:8" ht="14.25">
      <c r="A46" s="37"/>
      <c r="B46" s="37"/>
      <c r="C46" s="37"/>
      <c r="D46" s="42"/>
      <c r="E46" s="37"/>
      <c r="F46" s="37"/>
      <c r="G46" s="37"/>
      <c r="H46" s="37"/>
    </row>
    <row r="47" spans="1:8" ht="14.25">
      <c r="A47" s="37"/>
      <c r="B47" s="37"/>
      <c r="C47" s="37"/>
      <c r="D47" s="37"/>
      <c r="E47" s="37"/>
      <c r="F47" s="37"/>
      <c r="G47" s="37"/>
      <c r="H47" s="37"/>
    </row>
    <row r="48" spans="1:8" ht="14.25">
      <c r="A48" s="37"/>
      <c r="B48" s="37"/>
      <c r="C48" s="37"/>
      <c r="D48" s="37"/>
      <c r="E48" s="37"/>
      <c r="F48" s="37"/>
      <c r="G48" s="37"/>
      <c r="H48" s="37"/>
    </row>
    <row r="49" ht="12.75">
      <c r="C49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">
      <selection activeCell="E29" sqref="E29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105" t="s">
        <v>121</v>
      </c>
      <c r="B3" s="105"/>
      <c r="C3" s="105"/>
      <c r="D3" s="105"/>
      <c r="E3" s="105"/>
      <c r="F3" s="105"/>
      <c r="G3" s="105"/>
    </row>
    <row r="4" spans="1:7" ht="15">
      <c r="A4" s="106"/>
      <c r="B4" s="106"/>
      <c r="C4" s="44" t="s">
        <v>43</v>
      </c>
      <c r="D4" s="1"/>
      <c r="E4" s="37"/>
      <c r="F4" s="37"/>
      <c r="G4" s="37"/>
    </row>
    <row r="5" spans="1:7" ht="15">
      <c r="A5" s="49" t="s">
        <v>0</v>
      </c>
      <c r="B5" s="49" t="s">
        <v>1</v>
      </c>
      <c r="C5" s="50" t="s">
        <v>44</v>
      </c>
      <c r="D5" s="50" t="s">
        <v>45</v>
      </c>
      <c r="E5" s="51" t="s">
        <v>48</v>
      </c>
      <c r="F5" s="37"/>
      <c r="G5" s="37"/>
    </row>
    <row r="6" spans="1:7" ht="15">
      <c r="A6" s="40" t="s">
        <v>79</v>
      </c>
      <c r="B6" s="7" t="s">
        <v>6</v>
      </c>
      <c r="C6" s="6">
        <v>16274.9</v>
      </c>
      <c r="D6" s="6">
        <v>35968.65</v>
      </c>
      <c r="E6" s="8">
        <f>C6+D6</f>
        <v>52243.55</v>
      </c>
      <c r="F6" s="37"/>
      <c r="G6" s="37"/>
    </row>
    <row r="7" spans="1:7" ht="15">
      <c r="A7" s="40" t="s">
        <v>52</v>
      </c>
      <c r="B7" s="7" t="s">
        <v>39</v>
      </c>
      <c r="C7" s="6">
        <f>3395.59+3202.19</f>
        <v>6597.780000000001</v>
      </c>
      <c r="D7" s="6">
        <f>7712.13+3951.23</f>
        <v>11663.36</v>
      </c>
      <c r="E7" s="8">
        <f aca="true" t="shared" si="0" ref="E7:E44">C7+D7</f>
        <v>18261.14</v>
      </c>
      <c r="F7" s="37"/>
      <c r="G7" s="37"/>
    </row>
    <row r="8" spans="1:7" ht="15">
      <c r="A8" s="40" t="s">
        <v>53</v>
      </c>
      <c r="B8" s="7" t="s">
        <v>8</v>
      </c>
      <c r="C8" s="6"/>
      <c r="D8" s="6"/>
      <c r="E8" s="8">
        <f t="shared" si="0"/>
        <v>0</v>
      </c>
      <c r="F8" s="37"/>
      <c r="G8" s="37"/>
    </row>
    <row r="9" spans="1:7" ht="15">
      <c r="A9" s="40" t="s">
        <v>54</v>
      </c>
      <c r="B9" s="7" t="s">
        <v>9</v>
      </c>
      <c r="C9" s="6"/>
      <c r="D9" s="6"/>
      <c r="E9" s="8">
        <f t="shared" si="0"/>
        <v>0</v>
      </c>
      <c r="F9" s="37"/>
      <c r="G9" s="37"/>
    </row>
    <row r="10" spans="1:7" ht="15">
      <c r="A10" s="40" t="s">
        <v>55</v>
      </c>
      <c r="B10" s="7" t="s">
        <v>10</v>
      </c>
      <c r="C10" s="6">
        <v>425.79</v>
      </c>
      <c r="D10" s="6">
        <v>2157.69</v>
      </c>
      <c r="E10" s="8">
        <f t="shared" si="0"/>
        <v>2583.48</v>
      </c>
      <c r="F10" s="37"/>
      <c r="G10" s="37"/>
    </row>
    <row r="11" spans="1:7" ht="15">
      <c r="A11" s="40" t="s">
        <v>56</v>
      </c>
      <c r="B11" s="7" t="s">
        <v>11</v>
      </c>
      <c r="C11" s="6">
        <v>5982.97</v>
      </c>
      <c r="D11" s="6">
        <v>12761.17</v>
      </c>
      <c r="E11" s="8">
        <f t="shared" si="0"/>
        <v>18744.14</v>
      </c>
      <c r="F11" s="37"/>
      <c r="G11" s="37"/>
    </row>
    <row r="12" spans="1:7" ht="15">
      <c r="A12" s="40" t="s">
        <v>57</v>
      </c>
      <c r="B12" s="7" t="s">
        <v>12</v>
      </c>
      <c r="C12" s="6"/>
      <c r="D12" s="6"/>
      <c r="E12" s="8">
        <f t="shared" si="0"/>
        <v>0</v>
      </c>
      <c r="F12" s="37"/>
      <c r="G12" s="37"/>
    </row>
    <row r="13" spans="1:7" ht="15">
      <c r="A13" s="40" t="s">
        <v>58</v>
      </c>
      <c r="B13" s="7" t="s">
        <v>13</v>
      </c>
      <c r="C13" s="6">
        <f>8746.21+1745.78+7874.31</f>
        <v>18366.3</v>
      </c>
      <c r="D13" s="6">
        <f>19304.55+6197.93+16065.59</f>
        <v>41568.07</v>
      </c>
      <c r="E13" s="8">
        <f t="shared" si="0"/>
        <v>59934.369999999995</v>
      </c>
      <c r="F13" s="37"/>
      <c r="G13" s="37"/>
    </row>
    <row r="14" spans="1:7" ht="15">
      <c r="A14" s="40" t="s">
        <v>59</v>
      </c>
      <c r="B14" s="7" t="s">
        <v>112</v>
      </c>
      <c r="C14" s="6">
        <f>121.68+2138.49+962.59+2771.37+1498.39+52.01</f>
        <v>7544.53</v>
      </c>
      <c r="D14" s="6">
        <f>356.29+7032.29+2913.03+7069.36+1171.97+1160.17</f>
        <v>19703.11</v>
      </c>
      <c r="E14" s="8">
        <f t="shared" si="0"/>
        <v>27247.64</v>
      </c>
      <c r="F14" s="37"/>
      <c r="G14" s="37"/>
    </row>
    <row r="15" spans="1:7" ht="15">
      <c r="A15" s="40" t="s">
        <v>60</v>
      </c>
      <c r="B15" s="7" t="s">
        <v>14</v>
      </c>
      <c r="C15" s="6">
        <v>31847.55</v>
      </c>
      <c r="D15" s="6">
        <v>59347.28</v>
      </c>
      <c r="E15" s="8">
        <f t="shared" si="0"/>
        <v>91194.83</v>
      </c>
      <c r="F15" s="37"/>
      <c r="G15" s="37"/>
    </row>
    <row r="16" spans="1:7" ht="15">
      <c r="A16" s="40" t="s">
        <v>61</v>
      </c>
      <c r="B16" s="7" t="s">
        <v>15</v>
      </c>
      <c r="C16" s="6">
        <f>6377.91+182.52</f>
        <v>6560.43</v>
      </c>
      <c r="D16" s="6">
        <f>15014+1014.07</f>
        <v>16028.07</v>
      </c>
      <c r="E16" s="8">
        <f t="shared" si="0"/>
        <v>22588.5</v>
      </c>
      <c r="F16" s="37"/>
      <c r="G16" s="37"/>
    </row>
    <row r="17" spans="1:7" ht="15">
      <c r="A17" s="40" t="s">
        <v>62</v>
      </c>
      <c r="B17" s="7" t="s">
        <v>40</v>
      </c>
      <c r="C17" s="6">
        <f>3654.97+5856.38+7406.25</f>
        <v>16917.6</v>
      </c>
      <c r="D17" s="6">
        <f>7517.98+6521.26+18812.38</f>
        <v>32851.62</v>
      </c>
      <c r="E17" s="8">
        <f t="shared" si="0"/>
        <v>49769.22</v>
      </c>
      <c r="F17" s="37"/>
      <c r="G17" s="37"/>
    </row>
    <row r="18" spans="1:7" ht="15">
      <c r="A18" s="40" t="s">
        <v>63</v>
      </c>
      <c r="B18" s="7" t="s">
        <v>17</v>
      </c>
      <c r="C18" s="6">
        <v>2930.7</v>
      </c>
      <c r="D18" s="6">
        <v>8720.29</v>
      </c>
      <c r="E18" s="8">
        <f t="shared" si="0"/>
        <v>11650.990000000002</v>
      </c>
      <c r="F18" s="37"/>
      <c r="G18" s="37"/>
    </row>
    <row r="19" spans="1:7" ht="15">
      <c r="A19" s="40" t="s">
        <v>64</v>
      </c>
      <c r="B19" s="7" t="s">
        <v>18</v>
      </c>
      <c r="C19" s="6">
        <v>2446.78</v>
      </c>
      <c r="D19" s="6">
        <v>3728.13</v>
      </c>
      <c r="E19" s="8">
        <f t="shared" si="0"/>
        <v>6174.91</v>
      </c>
      <c r="F19" s="37"/>
      <c r="G19" s="37"/>
    </row>
    <row r="20" spans="1:7" ht="15">
      <c r="A20" s="40" t="s">
        <v>65</v>
      </c>
      <c r="B20" s="7" t="s">
        <v>19</v>
      </c>
      <c r="C20" s="6">
        <v>7090.33</v>
      </c>
      <c r="D20" s="6">
        <v>19762.15</v>
      </c>
      <c r="E20" s="8">
        <f t="shared" si="0"/>
        <v>26852.480000000003</v>
      </c>
      <c r="F20" s="37"/>
      <c r="G20" s="37"/>
    </row>
    <row r="21" spans="1:7" ht="15">
      <c r="A21" s="40" t="s">
        <v>66</v>
      </c>
      <c r="B21" s="7" t="s">
        <v>20</v>
      </c>
      <c r="C21" s="6"/>
      <c r="D21" s="6"/>
      <c r="E21" s="8">
        <f t="shared" si="0"/>
        <v>0</v>
      </c>
      <c r="F21" s="37"/>
      <c r="G21" s="37"/>
    </row>
    <row r="22" spans="1:7" ht="15">
      <c r="A22" s="40" t="s">
        <v>67</v>
      </c>
      <c r="B22" s="7" t="s">
        <v>21</v>
      </c>
      <c r="C22" s="6"/>
      <c r="D22" s="6"/>
      <c r="E22" s="8">
        <f t="shared" si="0"/>
        <v>0</v>
      </c>
      <c r="F22" s="37"/>
      <c r="G22" s="37"/>
    </row>
    <row r="23" spans="1:7" ht="15">
      <c r="A23" s="40" t="s">
        <v>68</v>
      </c>
      <c r="B23" s="7" t="s">
        <v>22</v>
      </c>
      <c r="C23" s="6"/>
      <c r="D23" s="6"/>
      <c r="E23" s="8">
        <f t="shared" si="0"/>
        <v>0</v>
      </c>
      <c r="F23" s="37"/>
      <c r="G23" s="37"/>
    </row>
    <row r="24" spans="1:7" ht="15">
      <c r="A24" s="40" t="s">
        <v>69</v>
      </c>
      <c r="B24" s="7" t="s">
        <v>23</v>
      </c>
      <c r="C24" s="6"/>
      <c r="D24" s="6"/>
      <c r="E24" s="8">
        <f t="shared" si="0"/>
        <v>0</v>
      </c>
      <c r="F24" s="37"/>
      <c r="G24" s="37"/>
    </row>
    <row r="25" spans="1:7" ht="15">
      <c r="A25" s="40" t="s">
        <v>70</v>
      </c>
      <c r="B25" s="7" t="s">
        <v>24</v>
      </c>
      <c r="C25" s="6">
        <v>1938.41</v>
      </c>
      <c r="D25" s="6">
        <v>5803.73</v>
      </c>
      <c r="E25" s="8">
        <f t="shared" si="0"/>
        <v>7742.139999999999</v>
      </c>
      <c r="F25" s="37"/>
      <c r="G25" s="37"/>
    </row>
    <row r="26" spans="1:7" ht="15">
      <c r="A26" s="40" t="s">
        <v>71</v>
      </c>
      <c r="B26" s="7" t="s">
        <v>25</v>
      </c>
      <c r="C26" s="6">
        <f>5015.94+1695.42</f>
        <v>6711.36</v>
      </c>
      <c r="D26" s="6">
        <f>13120.55+9031.45</f>
        <v>22152</v>
      </c>
      <c r="E26" s="8">
        <f t="shared" si="0"/>
        <v>28863.36</v>
      </c>
      <c r="F26" s="37"/>
      <c r="G26" s="37"/>
    </row>
    <row r="27" spans="1:7" ht="15">
      <c r="A27" s="40" t="s">
        <v>72</v>
      </c>
      <c r="B27" s="7" t="s">
        <v>26</v>
      </c>
      <c r="C27" s="6">
        <v>196.58</v>
      </c>
      <c r="D27" s="6">
        <v>959.47</v>
      </c>
      <c r="E27" s="8">
        <f t="shared" si="0"/>
        <v>1156.05</v>
      </c>
      <c r="F27" s="37"/>
      <c r="G27" s="37"/>
    </row>
    <row r="28" spans="1:7" ht="15">
      <c r="A28" s="40" t="s">
        <v>73</v>
      </c>
      <c r="B28" s="7" t="s">
        <v>27</v>
      </c>
      <c r="C28" s="6"/>
      <c r="D28" s="6"/>
      <c r="E28" s="8">
        <f t="shared" si="0"/>
        <v>0</v>
      </c>
      <c r="F28" s="37"/>
      <c r="G28" s="37"/>
    </row>
    <row r="29" spans="1:7" ht="15">
      <c r="A29" s="40" t="s">
        <v>74</v>
      </c>
      <c r="B29" s="7" t="s">
        <v>28</v>
      </c>
      <c r="C29" s="6">
        <f>5483.9+2866.83+43.99</f>
        <v>8394.72</v>
      </c>
      <c r="D29" s="6">
        <f>13711.34+6145.51+367.72</f>
        <v>20224.57</v>
      </c>
      <c r="E29" s="8">
        <f t="shared" si="0"/>
        <v>28619.29</v>
      </c>
      <c r="F29" s="37"/>
      <c r="G29" s="37"/>
    </row>
    <row r="30" spans="1:7" ht="15">
      <c r="A30" s="40" t="s">
        <v>75</v>
      </c>
      <c r="B30" s="7" t="s">
        <v>29</v>
      </c>
      <c r="C30" s="6">
        <v>5334.46</v>
      </c>
      <c r="D30" s="6">
        <v>12364.48</v>
      </c>
      <c r="E30" s="8">
        <f t="shared" si="0"/>
        <v>17698.94</v>
      </c>
      <c r="F30" s="37"/>
      <c r="G30" s="37"/>
    </row>
    <row r="31" spans="1:7" ht="15">
      <c r="A31" s="40" t="s">
        <v>76</v>
      </c>
      <c r="B31" s="7" t="s">
        <v>30</v>
      </c>
      <c r="C31" s="6">
        <f>1924.78+329.95</f>
        <v>2254.73</v>
      </c>
      <c r="D31" s="6">
        <f>2881.5+1437.33</f>
        <v>4318.83</v>
      </c>
      <c r="E31" s="8">
        <f t="shared" si="0"/>
        <v>6573.5599999999995</v>
      </c>
      <c r="F31" s="37"/>
      <c r="G31" s="37"/>
    </row>
    <row r="32" spans="1:7" ht="15">
      <c r="A32" s="40" t="s">
        <v>77</v>
      </c>
      <c r="B32" s="7" t="s">
        <v>31</v>
      </c>
      <c r="C32" s="6"/>
      <c r="D32" s="6"/>
      <c r="E32" s="8">
        <f t="shared" si="0"/>
        <v>0</v>
      </c>
      <c r="F32" s="37"/>
      <c r="G32" s="37"/>
    </row>
    <row r="33" spans="1:7" ht="15">
      <c r="A33" s="40" t="s">
        <v>78</v>
      </c>
      <c r="B33" s="7" t="s">
        <v>32</v>
      </c>
      <c r="C33" s="6">
        <f>2355.67+5382.89+1701.1</f>
        <v>9439.66</v>
      </c>
      <c r="D33" s="6">
        <f>5893.93+8352.67+7905.56</f>
        <v>22152.16</v>
      </c>
      <c r="E33" s="8">
        <f t="shared" si="0"/>
        <v>31591.82</v>
      </c>
      <c r="F33" s="37"/>
      <c r="G33" s="37"/>
    </row>
    <row r="34" spans="1:7" ht="15">
      <c r="A34" s="40" t="s">
        <v>80</v>
      </c>
      <c r="B34" s="7" t="s">
        <v>33</v>
      </c>
      <c r="C34" s="6"/>
      <c r="D34" s="6"/>
      <c r="E34" s="8">
        <f t="shared" si="0"/>
        <v>0</v>
      </c>
      <c r="F34" s="37"/>
      <c r="G34" s="37"/>
    </row>
    <row r="35" spans="1:7" ht="15">
      <c r="A35" s="40" t="s">
        <v>81</v>
      </c>
      <c r="B35" s="7" t="s">
        <v>34</v>
      </c>
      <c r="C35" s="6"/>
      <c r="D35" s="6"/>
      <c r="E35" s="8">
        <f t="shared" si="0"/>
        <v>0</v>
      </c>
      <c r="F35" s="37"/>
      <c r="G35" s="37"/>
    </row>
    <row r="36" spans="1:7" ht="15">
      <c r="A36" s="40" t="s">
        <v>82</v>
      </c>
      <c r="B36" s="7" t="s">
        <v>87</v>
      </c>
      <c r="C36" s="6">
        <v>243.27</v>
      </c>
      <c r="D36" s="6">
        <v>1161.95</v>
      </c>
      <c r="E36" s="8">
        <f t="shared" si="0"/>
        <v>1405.22</v>
      </c>
      <c r="F36" s="37"/>
      <c r="G36" s="37"/>
    </row>
    <row r="37" spans="1:7" ht="15">
      <c r="A37" s="40" t="s">
        <v>83</v>
      </c>
      <c r="B37" s="7" t="s">
        <v>89</v>
      </c>
      <c r="C37" s="6">
        <f>2647.35+600.12+1162.26+252.05</f>
        <v>4661.78</v>
      </c>
      <c r="D37" s="6">
        <f>7092.44+1914.39+3772.86+895.95</f>
        <v>13675.640000000001</v>
      </c>
      <c r="E37" s="8">
        <f t="shared" si="0"/>
        <v>18337.420000000002</v>
      </c>
      <c r="F37" s="37"/>
      <c r="G37" s="37"/>
    </row>
    <row r="38" spans="1:7" ht="15">
      <c r="A38" s="40" t="s">
        <v>84</v>
      </c>
      <c r="B38" s="7" t="s">
        <v>90</v>
      </c>
      <c r="C38" s="6">
        <v>12137.82</v>
      </c>
      <c r="D38" s="6">
        <v>25877.93</v>
      </c>
      <c r="E38" s="8">
        <f t="shared" si="0"/>
        <v>38015.75</v>
      </c>
      <c r="F38" s="37"/>
      <c r="G38" s="37"/>
    </row>
    <row r="39" spans="1:7" ht="15">
      <c r="A39" s="40" t="s">
        <v>85</v>
      </c>
      <c r="B39" s="7" t="s">
        <v>93</v>
      </c>
      <c r="C39" s="6">
        <v>547.21</v>
      </c>
      <c r="D39" s="6">
        <v>1009.51</v>
      </c>
      <c r="E39" s="8">
        <f t="shared" si="0"/>
        <v>1556.72</v>
      </c>
      <c r="F39" s="37"/>
      <c r="G39" s="37"/>
    </row>
    <row r="40" spans="1:7" ht="15">
      <c r="A40" s="40" t="s">
        <v>86</v>
      </c>
      <c r="B40" s="7" t="s">
        <v>94</v>
      </c>
      <c r="C40" s="6"/>
      <c r="D40" s="6"/>
      <c r="E40" s="8">
        <f t="shared" si="0"/>
        <v>0</v>
      </c>
      <c r="F40" s="37"/>
      <c r="G40" s="37"/>
    </row>
    <row r="41" spans="1:7" ht="15">
      <c r="A41" s="40" t="s">
        <v>91</v>
      </c>
      <c r="B41" s="7" t="s">
        <v>98</v>
      </c>
      <c r="C41" s="6"/>
      <c r="D41" s="6"/>
      <c r="E41" s="8">
        <f t="shared" si="0"/>
        <v>0</v>
      </c>
      <c r="F41" s="37"/>
      <c r="G41" s="37"/>
    </row>
    <row r="42" spans="1:7" ht="15">
      <c r="A42" s="40" t="s">
        <v>115</v>
      </c>
      <c r="B42" s="7" t="s">
        <v>113</v>
      </c>
      <c r="C42" s="6"/>
      <c r="D42" s="6"/>
      <c r="E42" s="8">
        <f t="shared" si="0"/>
        <v>0</v>
      </c>
      <c r="F42" s="37"/>
      <c r="G42" s="37"/>
    </row>
    <row r="43" spans="1:7" ht="15">
      <c r="A43" s="40" t="s">
        <v>116</v>
      </c>
      <c r="B43" s="7" t="s">
        <v>114</v>
      </c>
      <c r="C43" s="6"/>
      <c r="D43" s="6"/>
      <c r="E43" s="8">
        <f t="shared" si="0"/>
        <v>0</v>
      </c>
      <c r="F43" s="37"/>
      <c r="G43" s="37"/>
    </row>
    <row r="44" spans="1:7" ht="15">
      <c r="A44" s="52"/>
      <c r="B44" s="7" t="s">
        <v>35</v>
      </c>
      <c r="C44" s="7">
        <f>SUM(C6:C41)</f>
        <v>174845.65999999997</v>
      </c>
      <c r="D44" s="7">
        <f>SUM(D6:D41)</f>
        <v>393959.86</v>
      </c>
      <c r="E44" s="8">
        <f t="shared" si="0"/>
        <v>568805.52</v>
      </c>
      <c r="F44" s="37"/>
      <c r="G44" s="37"/>
    </row>
    <row r="45" spans="1:7" ht="14.25">
      <c r="A45" s="37"/>
      <c r="B45" s="37"/>
      <c r="C45" s="37"/>
      <c r="D45" s="37"/>
      <c r="E45" s="1"/>
      <c r="F45" s="37"/>
      <c r="G45" s="37"/>
    </row>
    <row r="46" spans="1:7" ht="14.25">
      <c r="A46" s="37"/>
      <c r="B46" s="37"/>
      <c r="C46" s="37"/>
      <c r="D46" s="37"/>
      <c r="E46" s="37"/>
      <c r="F46" s="37"/>
      <c r="G46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7">
      <selection activeCell="C31" sqref="C31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04" t="s">
        <v>122</v>
      </c>
      <c r="B3" s="104"/>
      <c r="C3" s="104"/>
      <c r="D3" s="104"/>
      <c r="E3" s="104"/>
      <c r="F3" s="104"/>
    </row>
    <row r="4" spans="1:6" ht="15">
      <c r="A4" s="107"/>
      <c r="B4" s="107"/>
      <c r="C4" s="107"/>
      <c r="D4" s="107"/>
      <c r="E4" s="107"/>
      <c r="F4" s="37"/>
    </row>
    <row r="5" spans="1:6" ht="14.25">
      <c r="A5" s="106"/>
      <c r="B5" s="106"/>
      <c r="C5" s="37"/>
      <c r="D5" s="37"/>
      <c r="E5" s="37"/>
      <c r="F5" s="37"/>
    </row>
    <row r="6" spans="1:6" ht="15">
      <c r="A6" s="49" t="s">
        <v>0</v>
      </c>
      <c r="B6" s="49" t="s">
        <v>1</v>
      </c>
      <c r="C6" s="50" t="s">
        <v>46</v>
      </c>
      <c r="D6" s="50" t="s">
        <v>47</v>
      </c>
      <c r="E6" s="37"/>
      <c r="F6" s="37"/>
    </row>
    <row r="7" spans="1:6" ht="15">
      <c r="A7" s="40" t="s">
        <v>79</v>
      </c>
      <c r="B7" s="7" t="s">
        <v>6</v>
      </c>
      <c r="C7" s="53">
        <v>10800</v>
      </c>
      <c r="D7" s="7">
        <v>1440</v>
      </c>
      <c r="E7" s="37"/>
      <c r="F7" s="37"/>
    </row>
    <row r="8" spans="1:6" ht="15">
      <c r="A8" s="40" t="s">
        <v>52</v>
      </c>
      <c r="B8" s="7" t="s">
        <v>39</v>
      </c>
      <c r="C8" s="53">
        <v>2640</v>
      </c>
      <c r="D8" s="7"/>
      <c r="E8" s="37"/>
      <c r="F8" s="37"/>
    </row>
    <row r="9" spans="1:6" ht="15">
      <c r="A9" s="40" t="s">
        <v>53</v>
      </c>
      <c r="B9" s="7" t="s">
        <v>8</v>
      </c>
      <c r="C9" s="53"/>
      <c r="D9" s="7"/>
      <c r="E9" s="37"/>
      <c r="F9" s="37"/>
    </row>
    <row r="10" spans="1:6" ht="15">
      <c r="A10" s="40" t="s">
        <v>54</v>
      </c>
      <c r="B10" s="7" t="s">
        <v>9</v>
      </c>
      <c r="C10" s="53"/>
      <c r="D10" s="7"/>
      <c r="E10" s="37"/>
      <c r="F10" s="37"/>
    </row>
    <row r="11" spans="1:6" ht="15">
      <c r="A11" s="40" t="s">
        <v>55</v>
      </c>
      <c r="B11" s="7" t="s">
        <v>10</v>
      </c>
      <c r="C11" s="53">
        <v>360</v>
      </c>
      <c r="D11" s="7"/>
      <c r="E11" s="37"/>
      <c r="F11" s="37"/>
    </row>
    <row r="12" spans="1:6" ht="15">
      <c r="A12" s="40" t="s">
        <v>56</v>
      </c>
      <c r="B12" s="7" t="s">
        <v>11</v>
      </c>
      <c r="C12" s="53">
        <v>2040</v>
      </c>
      <c r="D12" s="7"/>
      <c r="E12" s="37"/>
      <c r="F12" s="37"/>
    </row>
    <row r="13" spans="1:6" ht="15">
      <c r="A13" s="40" t="s">
        <v>57</v>
      </c>
      <c r="B13" s="7" t="s">
        <v>12</v>
      </c>
      <c r="C13" s="53"/>
      <c r="D13" s="7"/>
      <c r="E13" s="37"/>
      <c r="F13" s="37"/>
    </row>
    <row r="14" spans="1:6" ht="15">
      <c r="A14" s="40" t="s">
        <v>58</v>
      </c>
      <c r="B14" s="7" t="s">
        <v>13</v>
      </c>
      <c r="C14" s="53">
        <v>7320</v>
      </c>
      <c r="D14" s="7">
        <v>120</v>
      </c>
      <c r="E14" s="37"/>
      <c r="F14" s="37"/>
    </row>
    <row r="15" spans="1:6" ht="15">
      <c r="A15" s="40" t="s">
        <v>59</v>
      </c>
      <c r="B15" s="7" t="s">
        <v>112</v>
      </c>
      <c r="C15" s="53">
        <v>3600</v>
      </c>
      <c r="D15" s="7"/>
      <c r="E15" s="37"/>
      <c r="F15" s="37"/>
    </row>
    <row r="16" spans="1:6" ht="15">
      <c r="A16" s="40" t="s">
        <v>60</v>
      </c>
      <c r="B16" s="7" t="s">
        <v>14</v>
      </c>
      <c r="C16" s="53">
        <v>11400</v>
      </c>
      <c r="D16" s="7">
        <v>2520</v>
      </c>
      <c r="E16" s="37"/>
      <c r="F16" s="37"/>
    </row>
    <row r="17" spans="1:6" ht="15">
      <c r="A17" s="40" t="s">
        <v>61</v>
      </c>
      <c r="B17" s="7" t="s">
        <v>15</v>
      </c>
      <c r="C17" s="53">
        <v>3084</v>
      </c>
      <c r="D17" s="7">
        <v>960</v>
      </c>
      <c r="E17" s="37"/>
      <c r="F17" s="37"/>
    </row>
    <row r="18" spans="1:6" ht="15">
      <c r="A18" s="40" t="s">
        <v>62</v>
      </c>
      <c r="B18" s="7" t="s">
        <v>40</v>
      </c>
      <c r="C18" s="53">
        <v>6600</v>
      </c>
      <c r="D18" s="7">
        <v>1440</v>
      </c>
      <c r="E18" s="37"/>
      <c r="F18" s="37"/>
    </row>
    <row r="19" spans="1:6" ht="15">
      <c r="A19" s="40" t="s">
        <v>63</v>
      </c>
      <c r="B19" s="7" t="s">
        <v>17</v>
      </c>
      <c r="C19" s="53">
        <v>1860</v>
      </c>
      <c r="D19" s="7"/>
      <c r="E19" s="37"/>
      <c r="F19" s="37"/>
    </row>
    <row r="20" spans="1:6" ht="15">
      <c r="A20" s="40" t="s">
        <v>64</v>
      </c>
      <c r="B20" s="7" t="s">
        <v>18</v>
      </c>
      <c r="C20" s="53">
        <v>1200</v>
      </c>
      <c r="D20" s="7"/>
      <c r="E20" s="37"/>
      <c r="F20" s="37"/>
    </row>
    <row r="21" spans="1:6" ht="15">
      <c r="A21" s="40" t="s">
        <v>65</v>
      </c>
      <c r="B21" s="7" t="s">
        <v>19</v>
      </c>
      <c r="C21" s="53">
        <v>5760</v>
      </c>
      <c r="D21" s="7"/>
      <c r="E21" s="37"/>
      <c r="F21" s="37"/>
    </row>
    <row r="22" spans="1:6" ht="15">
      <c r="A22" s="40" t="s">
        <v>66</v>
      </c>
      <c r="B22" s="7" t="s">
        <v>20</v>
      </c>
      <c r="C22" s="53"/>
      <c r="D22" s="7"/>
      <c r="E22" s="37"/>
      <c r="F22" s="37"/>
    </row>
    <row r="23" spans="1:6" ht="15">
      <c r="A23" s="40" t="s">
        <v>67</v>
      </c>
      <c r="B23" s="7" t="s">
        <v>21</v>
      </c>
      <c r="C23" s="53"/>
      <c r="D23" s="7"/>
      <c r="E23" s="37"/>
      <c r="F23" s="37"/>
    </row>
    <row r="24" spans="1:6" ht="15">
      <c r="A24" s="40" t="s">
        <v>68</v>
      </c>
      <c r="B24" s="7" t="s">
        <v>22</v>
      </c>
      <c r="C24" s="53"/>
      <c r="D24" s="7"/>
      <c r="E24" s="37"/>
      <c r="F24" s="37"/>
    </row>
    <row r="25" spans="1:6" ht="15">
      <c r="A25" s="40" t="s">
        <v>69</v>
      </c>
      <c r="B25" s="7" t="s">
        <v>23</v>
      </c>
      <c r="C25" s="53"/>
      <c r="D25" s="7"/>
      <c r="E25" s="37"/>
      <c r="F25" s="37"/>
    </row>
    <row r="26" spans="1:6" ht="15">
      <c r="A26" s="40" t="s">
        <v>70</v>
      </c>
      <c r="B26" s="7" t="s">
        <v>24</v>
      </c>
      <c r="C26" s="53">
        <v>2640</v>
      </c>
      <c r="D26" s="7"/>
      <c r="E26" s="37"/>
      <c r="F26" s="37"/>
    </row>
    <row r="27" spans="1:6" ht="15">
      <c r="A27" s="40" t="s">
        <v>71</v>
      </c>
      <c r="B27" s="7" t="s">
        <v>25</v>
      </c>
      <c r="C27" s="53">
        <v>5520</v>
      </c>
      <c r="D27" s="7">
        <v>480</v>
      </c>
      <c r="E27" s="37"/>
      <c r="F27" s="37"/>
    </row>
    <row r="28" spans="1:6" ht="15">
      <c r="A28" s="40" t="s">
        <v>72</v>
      </c>
      <c r="B28" s="7" t="s">
        <v>26</v>
      </c>
      <c r="C28" s="53">
        <v>240</v>
      </c>
      <c r="D28" s="7"/>
      <c r="E28" s="37"/>
      <c r="F28" s="37"/>
    </row>
    <row r="29" spans="1:6" ht="15">
      <c r="A29" s="40" t="s">
        <v>73</v>
      </c>
      <c r="B29" s="7" t="s">
        <v>27</v>
      </c>
      <c r="C29" s="53"/>
      <c r="D29" s="7"/>
      <c r="E29" s="37"/>
      <c r="F29" s="37"/>
    </row>
    <row r="30" spans="1:6" ht="15">
      <c r="A30" s="40" t="s">
        <v>74</v>
      </c>
      <c r="B30" s="7" t="s">
        <v>28</v>
      </c>
      <c r="C30" s="53">
        <v>5220</v>
      </c>
      <c r="D30" s="7"/>
      <c r="E30" s="37"/>
      <c r="F30" s="37"/>
    </row>
    <row r="31" spans="1:6" ht="15">
      <c r="A31" s="40" t="s">
        <v>75</v>
      </c>
      <c r="B31" s="7" t="s">
        <v>29</v>
      </c>
      <c r="C31" s="53">
        <v>3480</v>
      </c>
      <c r="D31" s="7">
        <v>480</v>
      </c>
      <c r="E31" s="37"/>
      <c r="F31" s="37"/>
    </row>
    <row r="32" spans="1:6" ht="15">
      <c r="A32" s="40" t="s">
        <v>76</v>
      </c>
      <c r="B32" s="7" t="s">
        <v>30</v>
      </c>
      <c r="C32" s="53">
        <v>1320</v>
      </c>
      <c r="D32" s="7"/>
      <c r="E32" s="37"/>
      <c r="F32" s="37"/>
    </row>
    <row r="33" spans="1:6" ht="15">
      <c r="A33" s="40" t="s">
        <v>77</v>
      </c>
      <c r="B33" s="7" t="s">
        <v>31</v>
      </c>
      <c r="C33" s="53"/>
      <c r="D33" s="7"/>
      <c r="E33" s="37"/>
      <c r="F33" s="37"/>
    </row>
    <row r="34" spans="1:6" ht="15">
      <c r="A34" s="40" t="s">
        <v>78</v>
      </c>
      <c r="B34" s="7" t="s">
        <v>32</v>
      </c>
      <c r="C34" s="53">
        <v>3960</v>
      </c>
      <c r="D34" s="7"/>
      <c r="E34" s="37"/>
      <c r="F34" s="37"/>
    </row>
    <row r="35" spans="1:6" ht="15">
      <c r="A35" s="40" t="s">
        <v>80</v>
      </c>
      <c r="B35" s="7" t="s">
        <v>33</v>
      </c>
      <c r="C35" s="53"/>
      <c r="D35" s="7"/>
      <c r="E35" s="37"/>
      <c r="F35" s="37"/>
    </row>
    <row r="36" spans="1:6" ht="15">
      <c r="A36" s="40" t="s">
        <v>81</v>
      </c>
      <c r="B36" s="7" t="s">
        <v>34</v>
      </c>
      <c r="C36" s="53"/>
      <c r="D36" s="7"/>
      <c r="E36" s="37"/>
      <c r="F36" s="37"/>
    </row>
    <row r="37" spans="1:6" ht="15">
      <c r="A37" s="40" t="s">
        <v>82</v>
      </c>
      <c r="B37" s="7" t="s">
        <v>87</v>
      </c>
      <c r="C37" s="53">
        <v>120</v>
      </c>
      <c r="D37" s="7"/>
      <c r="E37" s="37"/>
      <c r="F37" s="37"/>
    </row>
    <row r="38" spans="1:6" ht="15">
      <c r="A38" s="40" t="s">
        <v>83</v>
      </c>
      <c r="B38" s="7" t="s">
        <v>89</v>
      </c>
      <c r="C38" s="53">
        <v>2400</v>
      </c>
      <c r="D38" s="7"/>
      <c r="E38" s="37"/>
      <c r="F38" s="37"/>
    </row>
    <row r="39" spans="1:6" ht="15">
      <c r="A39" s="40" t="s">
        <v>84</v>
      </c>
      <c r="B39" s="7" t="s">
        <v>90</v>
      </c>
      <c r="C39" s="53">
        <v>4200</v>
      </c>
      <c r="D39" s="7"/>
      <c r="E39" s="37"/>
      <c r="F39" s="37"/>
    </row>
    <row r="40" spans="1:6" ht="15">
      <c r="A40" s="40" t="s">
        <v>85</v>
      </c>
      <c r="B40" s="7" t="s">
        <v>93</v>
      </c>
      <c r="C40" s="53">
        <v>240</v>
      </c>
      <c r="D40" s="6"/>
      <c r="E40" s="37"/>
      <c r="F40" s="37"/>
    </row>
    <row r="41" spans="1:6" ht="15">
      <c r="A41" s="40" t="s">
        <v>86</v>
      </c>
      <c r="B41" s="7" t="s">
        <v>94</v>
      </c>
      <c r="C41" s="53"/>
      <c r="D41" s="6"/>
      <c r="E41" s="37"/>
      <c r="F41" s="37"/>
    </row>
    <row r="42" spans="1:6" ht="15">
      <c r="A42" s="40" t="s">
        <v>91</v>
      </c>
      <c r="B42" s="7" t="s">
        <v>98</v>
      </c>
      <c r="C42" s="53"/>
      <c r="D42" s="6"/>
      <c r="E42" s="37"/>
      <c r="F42" s="37"/>
    </row>
    <row r="43" spans="1:6" ht="15">
      <c r="A43" s="40" t="s">
        <v>115</v>
      </c>
      <c r="B43" s="7" t="s">
        <v>113</v>
      </c>
      <c r="C43" s="53"/>
      <c r="D43" s="6"/>
      <c r="E43" s="37"/>
      <c r="F43" s="37"/>
    </row>
    <row r="44" spans="1:6" ht="15">
      <c r="A44" s="40" t="s">
        <v>116</v>
      </c>
      <c r="B44" s="7" t="s">
        <v>114</v>
      </c>
      <c r="C44" s="53"/>
      <c r="D44" s="6"/>
      <c r="E44" s="37"/>
      <c r="F44" s="37"/>
    </row>
    <row r="45" spans="1:6" ht="15">
      <c r="A45" s="52"/>
      <c r="B45" s="7" t="s">
        <v>35</v>
      </c>
      <c r="C45" s="53">
        <f>SUM(C7:C44)</f>
        <v>86004</v>
      </c>
      <c r="D45" s="53">
        <f>SUM(D7:D44)</f>
        <v>7440</v>
      </c>
      <c r="E45" s="1"/>
      <c r="F45" s="37"/>
    </row>
    <row r="46" spans="1:6" ht="14.25">
      <c r="A46" s="37"/>
      <c r="B46" s="37"/>
      <c r="C46" s="1"/>
      <c r="D46" s="37"/>
      <c r="E46" s="37"/>
      <c r="F46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9"/>
  <sheetViews>
    <sheetView workbookViewId="0" topLeftCell="A16">
      <selection activeCell="C7" sqref="C7"/>
    </sheetView>
  </sheetViews>
  <sheetFormatPr defaultColWidth="9.140625" defaultRowHeight="12.75"/>
  <cols>
    <col min="2" max="2" width="36.8515625" style="0" bestFit="1" customWidth="1"/>
    <col min="3" max="3" width="16.8515625" style="0" customWidth="1"/>
  </cols>
  <sheetData>
    <row r="2" spans="1:5" ht="12.75">
      <c r="A2" s="80"/>
      <c r="B2" s="80"/>
      <c r="C2" s="80"/>
      <c r="D2" s="80"/>
      <c r="E2" s="80"/>
    </row>
    <row r="3" spans="1:5" ht="15">
      <c r="A3" s="81" t="s">
        <v>123</v>
      </c>
      <c r="B3" s="81"/>
      <c r="C3" s="81"/>
      <c r="D3" s="81"/>
      <c r="E3" s="81"/>
    </row>
    <row r="4" spans="1:5" ht="14.25">
      <c r="A4" s="37"/>
      <c r="B4" s="37"/>
      <c r="C4" s="39"/>
      <c r="D4" s="1"/>
      <c r="E4" s="1"/>
    </row>
    <row r="5" spans="1:5" ht="30">
      <c r="A5" s="49" t="s">
        <v>0</v>
      </c>
      <c r="B5" s="49" t="s">
        <v>1</v>
      </c>
      <c r="C5" s="51" t="s">
        <v>110</v>
      </c>
      <c r="D5" s="45"/>
      <c r="E5" s="12"/>
    </row>
    <row r="6" spans="1:5" ht="15">
      <c r="A6" s="40" t="s">
        <v>79</v>
      </c>
      <c r="B6" s="7" t="s">
        <v>6</v>
      </c>
      <c r="C6" s="8">
        <v>21672.18</v>
      </c>
      <c r="D6" s="46"/>
      <c r="E6" s="12"/>
    </row>
    <row r="7" spans="1:5" ht="15">
      <c r="A7" s="40" t="s">
        <v>52</v>
      </c>
      <c r="B7" s="7" t="s">
        <v>39</v>
      </c>
      <c r="C7" s="8"/>
      <c r="D7" s="46"/>
      <c r="E7" s="12"/>
    </row>
    <row r="8" spans="1:5" ht="15">
      <c r="A8" s="40" t="s">
        <v>53</v>
      </c>
      <c r="B8" s="7" t="s">
        <v>8</v>
      </c>
      <c r="C8" s="8"/>
      <c r="D8" s="46"/>
      <c r="E8" s="12"/>
    </row>
    <row r="9" spans="1:5" ht="15">
      <c r="A9" s="40" t="s">
        <v>54</v>
      </c>
      <c r="B9" s="7" t="s">
        <v>9</v>
      </c>
      <c r="C9" s="8"/>
      <c r="D9" s="46"/>
      <c r="E9" s="12"/>
    </row>
    <row r="10" spans="1:5" ht="15">
      <c r="A10" s="40" t="s">
        <v>55</v>
      </c>
      <c r="B10" s="7" t="s">
        <v>10</v>
      </c>
      <c r="C10" s="8"/>
      <c r="D10" s="46"/>
      <c r="E10" s="12"/>
    </row>
    <row r="11" spans="1:5" ht="15">
      <c r="A11" s="40" t="s">
        <v>56</v>
      </c>
      <c r="B11" s="7" t="s">
        <v>11</v>
      </c>
      <c r="C11" s="8"/>
      <c r="D11" s="46"/>
      <c r="E11" s="12"/>
    </row>
    <row r="12" spans="1:5" ht="15">
      <c r="A12" s="40" t="s">
        <v>57</v>
      </c>
      <c r="B12" s="7" t="s">
        <v>12</v>
      </c>
      <c r="C12" s="8"/>
      <c r="D12" s="46"/>
      <c r="E12" s="12"/>
    </row>
    <row r="13" spans="1:5" ht="15">
      <c r="A13" s="40" t="s">
        <v>58</v>
      </c>
      <c r="B13" s="7" t="s">
        <v>13</v>
      </c>
      <c r="C13" s="8"/>
      <c r="D13" s="46"/>
      <c r="E13" s="12"/>
    </row>
    <row r="14" spans="1:5" ht="15">
      <c r="A14" s="40" t="s">
        <v>59</v>
      </c>
      <c r="B14" s="7" t="s">
        <v>112</v>
      </c>
      <c r="C14" s="8"/>
      <c r="D14" s="46"/>
      <c r="E14" s="12"/>
    </row>
    <row r="15" spans="1:5" ht="15">
      <c r="A15" s="40" t="s">
        <v>60</v>
      </c>
      <c r="B15" s="7" t="s">
        <v>14</v>
      </c>
      <c r="C15" s="8">
        <v>37846.2</v>
      </c>
      <c r="D15" s="46"/>
      <c r="E15" s="12"/>
    </row>
    <row r="16" spans="1:5" ht="15">
      <c r="A16" s="40" t="s">
        <v>61</v>
      </c>
      <c r="B16" s="7" t="s">
        <v>15</v>
      </c>
      <c r="C16" s="8">
        <v>26852.66</v>
      </c>
      <c r="D16" s="46"/>
      <c r="E16" s="12"/>
    </row>
    <row r="17" spans="1:5" ht="15">
      <c r="A17" s="40" t="s">
        <v>62</v>
      </c>
      <c r="B17" s="7" t="s">
        <v>40</v>
      </c>
      <c r="C17" s="8"/>
      <c r="D17" s="46"/>
      <c r="E17" s="12"/>
    </row>
    <row r="18" spans="1:5" ht="15">
      <c r="A18" s="40" t="s">
        <v>63</v>
      </c>
      <c r="B18" s="7" t="s">
        <v>17</v>
      </c>
      <c r="C18" s="8"/>
      <c r="D18" s="46"/>
      <c r="E18" s="12"/>
    </row>
    <row r="19" spans="1:5" ht="15">
      <c r="A19" s="40" t="s">
        <v>64</v>
      </c>
      <c r="B19" s="7" t="s">
        <v>18</v>
      </c>
      <c r="C19" s="8"/>
      <c r="D19" s="46"/>
      <c r="E19" s="12"/>
    </row>
    <row r="20" spans="1:5" ht="15">
      <c r="A20" s="40" t="s">
        <v>65</v>
      </c>
      <c r="B20" s="7" t="s">
        <v>19</v>
      </c>
      <c r="C20" s="8"/>
      <c r="D20" s="46"/>
      <c r="E20" s="12"/>
    </row>
    <row r="21" spans="1:5" ht="15">
      <c r="A21" s="40" t="s">
        <v>66</v>
      </c>
      <c r="B21" s="7" t="s">
        <v>20</v>
      </c>
      <c r="C21" s="8"/>
      <c r="D21" s="46"/>
      <c r="E21" s="12"/>
    </row>
    <row r="22" spans="1:5" ht="15">
      <c r="A22" s="40" t="s">
        <v>67</v>
      </c>
      <c r="B22" s="7" t="s">
        <v>21</v>
      </c>
      <c r="C22" s="8"/>
      <c r="D22" s="46"/>
      <c r="E22" s="12"/>
    </row>
    <row r="23" spans="1:5" ht="15">
      <c r="A23" s="40" t="s">
        <v>68</v>
      </c>
      <c r="B23" s="7" t="s">
        <v>22</v>
      </c>
      <c r="C23" s="8"/>
      <c r="D23" s="46"/>
      <c r="E23" s="12"/>
    </row>
    <row r="24" spans="1:5" ht="15">
      <c r="A24" s="40" t="s">
        <v>69</v>
      </c>
      <c r="B24" s="7" t="s">
        <v>23</v>
      </c>
      <c r="C24" s="8"/>
      <c r="D24" s="46"/>
      <c r="E24" s="12"/>
    </row>
    <row r="25" spans="1:5" ht="15">
      <c r="A25" s="40" t="s">
        <v>70</v>
      </c>
      <c r="B25" s="7" t="s">
        <v>24</v>
      </c>
      <c r="C25" s="8"/>
      <c r="D25" s="46"/>
      <c r="E25" s="12"/>
    </row>
    <row r="26" spans="1:5" ht="15">
      <c r="A26" s="40" t="s">
        <v>71</v>
      </c>
      <c r="B26" s="7" t="s">
        <v>25</v>
      </c>
      <c r="C26" s="8">
        <v>41705.92</v>
      </c>
      <c r="D26" s="46"/>
      <c r="E26" s="12"/>
    </row>
    <row r="27" spans="1:5" ht="15">
      <c r="A27" s="40" t="s">
        <v>72</v>
      </c>
      <c r="B27" s="7" t="s">
        <v>26</v>
      </c>
      <c r="C27" s="8"/>
      <c r="D27" s="46"/>
      <c r="E27" s="12"/>
    </row>
    <row r="28" spans="1:5" ht="15">
      <c r="A28" s="40" t="s">
        <v>73</v>
      </c>
      <c r="B28" s="7" t="s">
        <v>27</v>
      </c>
      <c r="C28" s="8"/>
      <c r="D28" s="46"/>
      <c r="E28" s="12"/>
    </row>
    <row r="29" spans="1:5" ht="15">
      <c r="A29" s="40" t="s">
        <v>74</v>
      </c>
      <c r="B29" s="7" t="s">
        <v>28</v>
      </c>
      <c r="C29" s="8"/>
      <c r="D29" s="46"/>
      <c r="E29" s="12"/>
    </row>
    <row r="30" spans="1:5" ht="15">
      <c r="A30" s="40" t="s">
        <v>75</v>
      </c>
      <c r="B30" s="7" t="s">
        <v>29</v>
      </c>
      <c r="C30" s="8">
        <v>28279.57</v>
      </c>
      <c r="D30" s="46"/>
      <c r="E30" s="12"/>
    </row>
    <row r="31" spans="1:5" ht="15">
      <c r="A31" s="40" t="s">
        <v>76</v>
      </c>
      <c r="B31" s="7" t="s">
        <v>30</v>
      </c>
      <c r="C31" s="8"/>
      <c r="D31" s="46"/>
      <c r="E31" s="12"/>
    </row>
    <row r="32" spans="1:5" ht="15">
      <c r="A32" s="40" t="s">
        <v>77</v>
      </c>
      <c r="B32" s="7" t="s">
        <v>31</v>
      </c>
      <c r="C32" s="8"/>
      <c r="D32" s="46"/>
      <c r="E32" s="12"/>
    </row>
    <row r="33" spans="1:5" ht="15">
      <c r="A33" s="40" t="s">
        <v>78</v>
      </c>
      <c r="B33" s="7" t="s">
        <v>32</v>
      </c>
      <c r="C33" s="8"/>
      <c r="D33" s="46"/>
      <c r="E33" s="12"/>
    </row>
    <row r="34" spans="1:5" ht="15">
      <c r="A34" s="40" t="s">
        <v>80</v>
      </c>
      <c r="B34" s="7" t="s">
        <v>33</v>
      </c>
      <c r="C34" s="8">
        <v>7426.63</v>
      </c>
      <c r="D34" s="46"/>
      <c r="E34" s="12"/>
    </row>
    <row r="35" spans="1:5" ht="15">
      <c r="A35" s="40" t="s">
        <v>81</v>
      </c>
      <c r="B35" s="7" t="s">
        <v>34</v>
      </c>
      <c r="C35" s="8"/>
      <c r="D35" s="46"/>
      <c r="E35" s="12"/>
    </row>
    <row r="36" spans="1:5" ht="15">
      <c r="A36" s="40" t="s">
        <v>82</v>
      </c>
      <c r="B36" s="7" t="s">
        <v>87</v>
      </c>
      <c r="C36" s="8"/>
      <c r="D36" s="46"/>
      <c r="E36" s="12"/>
    </row>
    <row r="37" spans="1:5" ht="15">
      <c r="A37" s="40" t="s">
        <v>83</v>
      </c>
      <c r="B37" s="7" t="s">
        <v>89</v>
      </c>
      <c r="C37" s="8">
        <v>13426.33</v>
      </c>
      <c r="D37" s="46"/>
      <c r="E37" s="12"/>
    </row>
    <row r="38" spans="1:5" ht="15">
      <c r="A38" s="40" t="s">
        <v>84</v>
      </c>
      <c r="B38" s="7" t="s">
        <v>90</v>
      </c>
      <c r="C38" s="8"/>
      <c r="D38" s="46"/>
      <c r="E38" s="12"/>
    </row>
    <row r="39" spans="1:5" ht="15">
      <c r="A39" s="40" t="s">
        <v>85</v>
      </c>
      <c r="B39" s="7" t="s">
        <v>93</v>
      </c>
      <c r="C39" s="8"/>
      <c r="D39" s="46"/>
      <c r="E39" s="12"/>
    </row>
    <row r="40" spans="1:5" ht="15">
      <c r="A40" s="40" t="s">
        <v>86</v>
      </c>
      <c r="B40" s="56" t="s">
        <v>94</v>
      </c>
      <c r="C40" s="8"/>
      <c r="D40" s="46"/>
      <c r="E40" s="12"/>
    </row>
    <row r="41" spans="1:5" ht="15">
      <c r="A41" s="40" t="s">
        <v>91</v>
      </c>
      <c r="B41" s="56" t="s">
        <v>98</v>
      </c>
      <c r="C41" s="8"/>
      <c r="D41" s="46"/>
      <c r="E41" s="12"/>
    </row>
    <row r="42" spans="1:5" ht="15">
      <c r="A42" s="40" t="s">
        <v>115</v>
      </c>
      <c r="B42" s="7" t="s">
        <v>113</v>
      </c>
      <c r="C42" s="8"/>
      <c r="D42" s="46"/>
      <c r="E42" s="12"/>
    </row>
    <row r="43" spans="1:5" ht="15.75" thickBot="1">
      <c r="A43" s="40" t="s">
        <v>116</v>
      </c>
      <c r="B43" s="7" t="s">
        <v>114</v>
      </c>
      <c r="C43" s="8"/>
      <c r="D43" s="46"/>
      <c r="E43" s="12"/>
    </row>
    <row r="44" spans="1:5" ht="15.75" thickBot="1">
      <c r="A44" s="54"/>
      <c r="B44" s="55" t="s">
        <v>35</v>
      </c>
      <c r="C44" s="93">
        <f>SUM(C6:C41)</f>
        <v>177209.49</v>
      </c>
      <c r="D44" s="12"/>
      <c r="E44" s="12"/>
    </row>
    <row r="45" spans="1:5" ht="14.25">
      <c r="A45" s="37"/>
      <c r="B45" s="37"/>
      <c r="C45" s="39"/>
      <c r="D45" s="1"/>
      <c r="E45" s="1"/>
    </row>
    <row r="46" spans="1:5" ht="14.25">
      <c r="A46" s="37"/>
      <c r="B46" s="37"/>
      <c r="C46" s="83"/>
      <c r="D46" s="1"/>
      <c r="E46" s="1"/>
    </row>
    <row r="47" spans="1:5" ht="14.25">
      <c r="A47" s="37"/>
      <c r="B47" s="37"/>
      <c r="C47" s="37"/>
      <c r="D47" s="37"/>
      <c r="E47" s="37"/>
    </row>
    <row r="48" spans="1:5" ht="14.25">
      <c r="A48" s="37"/>
      <c r="B48" s="37"/>
      <c r="C48" s="37"/>
      <c r="D48" s="37"/>
      <c r="E48" s="37"/>
    </row>
    <row r="49" spans="1:5" ht="14.25">
      <c r="A49" s="37"/>
      <c r="B49" s="37"/>
      <c r="C49" s="37"/>
      <c r="D49" s="37"/>
      <c r="E49" s="37"/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9"/>
  <sheetViews>
    <sheetView workbookViewId="0" topLeftCell="A13">
      <selection activeCell="C30" sqref="C30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108" t="s">
        <v>124</v>
      </c>
      <c r="B3" s="108"/>
      <c r="C3" s="108"/>
      <c r="D3" s="108"/>
      <c r="E3" s="108"/>
    </row>
    <row r="4" spans="1:5" ht="14.25">
      <c r="A4" s="37"/>
      <c r="B4" s="37"/>
      <c r="C4" s="39"/>
      <c r="D4" s="1"/>
      <c r="E4" s="1"/>
    </row>
    <row r="5" spans="1:5" ht="30">
      <c r="A5" s="49" t="s">
        <v>0</v>
      </c>
      <c r="B5" s="49" t="s">
        <v>1</v>
      </c>
      <c r="C5" s="51" t="s">
        <v>49</v>
      </c>
      <c r="D5" s="45"/>
      <c r="E5" s="12"/>
    </row>
    <row r="6" spans="1:5" ht="15">
      <c r="A6" s="40" t="s">
        <v>79</v>
      </c>
      <c r="B6" s="7" t="s">
        <v>6</v>
      </c>
      <c r="C6" s="8">
        <v>119365.25</v>
      </c>
      <c r="D6" s="46"/>
      <c r="E6" s="12"/>
    </row>
    <row r="7" spans="1:5" ht="15">
      <c r="A7" s="40" t="s">
        <v>52</v>
      </c>
      <c r="B7" s="7" t="s">
        <v>39</v>
      </c>
      <c r="C7" s="8"/>
      <c r="D7" s="46"/>
      <c r="E7" s="12"/>
    </row>
    <row r="8" spans="1:5" ht="15">
      <c r="A8" s="40" t="s">
        <v>53</v>
      </c>
      <c r="B8" s="7" t="s">
        <v>8</v>
      </c>
      <c r="C8" s="8"/>
      <c r="D8" s="46"/>
      <c r="E8" s="12"/>
    </row>
    <row r="9" spans="1:5" ht="15">
      <c r="A9" s="40" t="s">
        <v>54</v>
      </c>
      <c r="B9" s="7" t="s">
        <v>9</v>
      </c>
      <c r="C9" s="8"/>
      <c r="D9" s="46"/>
      <c r="E9" s="12"/>
    </row>
    <row r="10" spans="1:5" ht="15">
      <c r="A10" s="40" t="s">
        <v>55</v>
      </c>
      <c r="B10" s="7" t="s">
        <v>10</v>
      </c>
      <c r="C10" s="8">
        <v>248.79</v>
      </c>
      <c r="D10" s="46"/>
      <c r="E10" s="12"/>
    </row>
    <row r="11" spans="1:5" ht="15">
      <c r="A11" s="40" t="s">
        <v>56</v>
      </c>
      <c r="B11" s="7" t="s">
        <v>11</v>
      </c>
      <c r="C11" s="8">
        <v>8311.16</v>
      </c>
      <c r="D11" s="46"/>
      <c r="E11" s="12"/>
    </row>
    <row r="12" spans="1:5" ht="15">
      <c r="A12" s="40" t="s">
        <v>57</v>
      </c>
      <c r="B12" s="7" t="s">
        <v>12</v>
      </c>
      <c r="C12" s="8"/>
      <c r="D12" s="46"/>
      <c r="E12" s="12"/>
    </row>
    <row r="13" spans="1:5" ht="15">
      <c r="A13" s="40" t="s">
        <v>58</v>
      </c>
      <c r="B13" s="7" t="s">
        <v>13</v>
      </c>
      <c r="C13" s="8">
        <v>797.94</v>
      </c>
      <c r="D13" s="46"/>
      <c r="E13" s="12"/>
    </row>
    <row r="14" spans="1:5" ht="15">
      <c r="A14" s="40" t="s">
        <v>59</v>
      </c>
      <c r="B14" s="7" t="s">
        <v>112</v>
      </c>
      <c r="C14" s="8">
        <v>2729.89</v>
      </c>
      <c r="D14" s="46"/>
      <c r="E14" s="12"/>
    </row>
    <row r="15" spans="1:5" ht="15">
      <c r="A15" s="40" t="s">
        <v>60</v>
      </c>
      <c r="B15" s="7" t="s">
        <v>14</v>
      </c>
      <c r="C15" s="8">
        <v>71640.77</v>
      </c>
      <c r="D15" s="46"/>
      <c r="E15" s="12"/>
    </row>
    <row r="16" spans="1:5" ht="15">
      <c r="A16" s="40" t="s">
        <v>61</v>
      </c>
      <c r="B16" s="7" t="s">
        <v>15</v>
      </c>
      <c r="C16" s="8">
        <v>999.62</v>
      </c>
      <c r="D16" s="46"/>
      <c r="E16" s="12"/>
    </row>
    <row r="17" spans="1:5" ht="15">
      <c r="A17" s="40" t="s">
        <v>62</v>
      </c>
      <c r="B17" s="7" t="s">
        <v>40</v>
      </c>
      <c r="C17" s="8">
        <v>17018.83</v>
      </c>
      <c r="D17" s="46"/>
      <c r="E17" s="12"/>
    </row>
    <row r="18" spans="1:5" ht="15">
      <c r="A18" s="40" t="s">
        <v>63</v>
      </c>
      <c r="B18" s="7" t="s">
        <v>17</v>
      </c>
      <c r="C18" s="8">
        <v>848.44</v>
      </c>
      <c r="D18" s="46"/>
      <c r="E18" s="12"/>
    </row>
    <row r="19" spans="1:5" ht="15">
      <c r="A19" s="40" t="s">
        <v>64</v>
      </c>
      <c r="B19" s="7" t="s">
        <v>18</v>
      </c>
      <c r="C19" s="8"/>
      <c r="D19" s="46"/>
      <c r="E19" s="12"/>
    </row>
    <row r="20" spans="1:5" ht="15">
      <c r="A20" s="40" t="s">
        <v>65</v>
      </c>
      <c r="B20" s="7" t="s">
        <v>19</v>
      </c>
      <c r="C20" s="8">
        <v>11234.47</v>
      </c>
      <c r="D20" s="46"/>
      <c r="E20" s="12"/>
    </row>
    <row r="21" spans="1:5" ht="15">
      <c r="A21" s="40" t="s">
        <v>66</v>
      </c>
      <c r="B21" s="7" t="s">
        <v>20</v>
      </c>
      <c r="C21" s="8"/>
      <c r="D21" s="46"/>
      <c r="E21" s="12"/>
    </row>
    <row r="22" spans="1:5" ht="15">
      <c r="A22" s="40" t="s">
        <v>67</v>
      </c>
      <c r="B22" s="7" t="s">
        <v>21</v>
      </c>
      <c r="C22" s="8"/>
      <c r="D22" s="46"/>
      <c r="E22" s="12"/>
    </row>
    <row r="23" spans="1:5" ht="15">
      <c r="A23" s="40" t="s">
        <v>68</v>
      </c>
      <c r="B23" s="7" t="s">
        <v>22</v>
      </c>
      <c r="C23" s="8"/>
      <c r="D23" s="46"/>
      <c r="E23" s="12"/>
    </row>
    <row r="24" spans="1:5" ht="15">
      <c r="A24" s="40" t="s">
        <v>69</v>
      </c>
      <c r="B24" s="7" t="s">
        <v>23</v>
      </c>
      <c r="C24" s="8"/>
      <c r="D24" s="46"/>
      <c r="E24" s="12"/>
    </row>
    <row r="25" spans="1:5" ht="15">
      <c r="A25" s="40" t="s">
        <v>70</v>
      </c>
      <c r="B25" s="7" t="s">
        <v>24</v>
      </c>
      <c r="C25" s="8">
        <v>232.36</v>
      </c>
      <c r="D25" s="46"/>
      <c r="E25" s="12"/>
    </row>
    <row r="26" spans="1:5" ht="15">
      <c r="A26" s="40" t="s">
        <v>71</v>
      </c>
      <c r="B26" s="7" t="s">
        <v>25</v>
      </c>
      <c r="C26" s="8">
        <v>2254.96</v>
      </c>
      <c r="D26" s="46"/>
      <c r="E26" s="12"/>
    </row>
    <row r="27" spans="1:5" ht="15">
      <c r="A27" s="40" t="s">
        <v>72</v>
      </c>
      <c r="B27" s="7" t="s">
        <v>26</v>
      </c>
      <c r="C27" s="8"/>
      <c r="D27" s="46"/>
      <c r="E27" s="12"/>
    </row>
    <row r="28" spans="1:5" ht="15">
      <c r="A28" s="40" t="s">
        <v>73</v>
      </c>
      <c r="B28" s="7" t="s">
        <v>27</v>
      </c>
      <c r="C28" s="8"/>
      <c r="D28" s="46"/>
      <c r="E28" s="12"/>
    </row>
    <row r="29" spans="1:5" ht="15">
      <c r="A29" s="40" t="s">
        <v>74</v>
      </c>
      <c r="B29" s="7" t="s">
        <v>28</v>
      </c>
      <c r="C29" s="8">
        <v>275267.26</v>
      </c>
      <c r="D29" s="46"/>
      <c r="E29" s="12"/>
    </row>
    <row r="30" spans="1:5" ht="15">
      <c r="A30" s="40" t="s">
        <v>75</v>
      </c>
      <c r="B30" s="7" t="s">
        <v>29</v>
      </c>
      <c r="C30" s="8">
        <v>649.15</v>
      </c>
      <c r="D30" s="46"/>
      <c r="E30" s="12"/>
    </row>
    <row r="31" spans="1:5" ht="15">
      <c r="A31" s="40" t="s">
        <v>76</v>
      </c>
      <c r="B31" s="7" t="s">
        <v>30</v>
      </c>
      <c r="C31" s="8">
        <v>51.75</v>
      </c>
      <c r="D31" s="46"/>
      <c r="E31" s="12"/>
    </row>
    <row r="32" spans="1:5" ht="15">
      <c r="A32" s="40" t="s">
        <v>77</v>
      </c>
      <c r="B32" s="7" t="s">
        <v>31</v>
      </c>
      <c r="C32" s="8"/>
      <c r="D32" s="46"/>
      <c r="E32" s="12"/>
    </row>
    <row r="33" spans="1:5" ht="15">
      <c r="A33" s="40" t="s">
        <v>78</v>
      </c>
      <c r="B33" s="7" t="s">
        <v>32</v>
      </c>
      <c r="C33" s="8">
        <v>15561.81</v>
      </c>
      <c r="D33" s="46"/>
      <c r="E33" s="12"/>
    </row>
    <row r="34" spans="1:5" ht="15">
      <c r="A34" s="40" t="s">
        <v>80</v>
      </c>
      <c r="B34" s="7" t="s">
        <v>33</v>
      </c>
      <c r="C34" s="8">
        <v>14324.24</v>
      </c>
      <c r="D34" s="46"/>
      <c r="E34" s="12"/>
    </row>
    <row r="35" spans="1:5" ht="15">
      <c r="A35" s="40" t="s">
        <v>81</v>
      </c>
      <c r="B35" s="7" t="s">
        <v>34</v>
      </c>
      <c r="C35" s="8"/>
      <c r="D35" s="46"/>
      <c r="E35" s="12"/>
    </row>
    <row r="36" spans="1:5" ht="15">
      <c r="A36" s="40" t="s">
        <v>82</v>
      </c>
      <c r="B36" s="7" t="s">
        <v>87</v>
      </c>
      <c r="C36" s="8"/>
      <c r="D36" s="46"/>
      <c r="E36" s="12"/>
    </row>
    <row r="37" spans="1:5" ht="15">
      <c r="A37" s="40" t="s">
        <v>83</v>
      </c>
      <c r="B37" s="7" t="s">
        <v>89</v>
      </c>
      <c r="C37" s="8">
        <v>591.12</v>
      </c>
      <c r="D37" s="46"/>
      <c r="E37" s="12"/>
    </row>
    <row r="38" spans="1:5" ht="15">
      <c r="A38" s="40" t="s">
        <v>84</v>
      </c>
      <c r="B38" s="7" t="s">
        <v>90</v>
      </c>
      <c r="C38" s="8">
        <v>658.2</v>
      </c>
      <c r="D38" s="46"/>
      <c r="E38" s="12"/>
    </row>
    <row r="39" spans="1:5" ht="15">
      <c r="A39" s="40" t="s">
        <v>85</v>
      </c>
      <c r="B39" s="7" t="s">
        <v>93</v>
      </c>
      <c r="C39" s="8"/>
      <c r="D39" s="46"/>
      <c r="E39" s="12"/>
    </row>
    <row r="40" spans="1:5" ht="15">
      <c r="A40" s="40" t="s">
        <v>86</v>
      </c>
      <c r="B40" s="7" t="s">
        <v>94</v>
      </c>
      <c r="C40" s="8"/>
      <c r="D40" s="46"/>
      <c r="E40" s="12"/>
    </row>
    <row r="41" spans="1:5" ht="15">
      <c r="A41" s="40" t="s">
        <v>91</v>
      </c>
      <c r="B41" s="7" t="s">
        <v>98</v>
      </c>
      <c r="C41" s="8">
        <v>236.64</v>
      </c>
      <c r="D41" s="46"/>
      <c r="E41" s="12"/>
    </row>
    <row r="42" spans="1:5" ht="15">
      <c r="A42" s="40" t="s">
        <v>115</v>
      </c>
      <c r="B42" s="7" t="s">
        <v>113</v>
      </c>
      <c r="C42" s="8"/>
      <c r="D42" s="46"/>
      <c r="E42" s="12"/>
    </row>
    <row r="43" spans="1:5" ht="15.75" thickBot="1">
      <c r="A43" s="40" t="s">
        <v>116</v>
      </c>
      <c r="B43" s="7" t="s">
        <v>114</v>
      </c>
      <c r="C43" s="8"/>
      <c r="D43" s="46"/>
      <c r="E43" s="12"/>
    </row>
    <row r="44" spans="1:5" ht="15.75" thickBot="1">
      <c r="A44" s="54"/>
      <c r="B44" s="55" t="s">
        <v>35</v>
      </c>
      <c r="C44" s="93">
        <f>SUM(C6:C41)</f>
        <v>543022.65</v>
      </c>
      <c r="D44" s="12"/>
      <c r="E44" s="12"/>
    </row>
    <row r="45" spans="1:5" ht="14.25">
      <c r="A45" s="37"/>
      <c r="B45" s="37"/>
      <c r="C45" s="83"/>
      <c r="D45" s="1"/>
      <c r="E45" s="1"/>
    </row>
    <row r="46" spans="1:5" ht="14.25">
      <c r="A46" s="37"/>
      <c r="B46" s="37"/>
      <c r="C46" s="39"/>
      <c r="D46" s="1"/>
      <c r="E46" s="1"/>
    </row>
    <row r="47" spans="1:5" ht="14.25">
      <c r="A47" s="37"/>
      <c r="B47" s="37"/>
      <c r="C47" s="37"/>
      <c r="D47" s="37"/>
      <c r="E47" s="37"/>
    </row>
    <row r="48" spans="1:5" ht="14.25">
      <c r="A48" s="37"/>
      <c r="B48" s="37"/>
      <c r="C48" s="37"/>
      <c r="D48" s="37"/>
      <c r="E48" s="37"/>
    </row>
    <row r="49" spans="1:5" ht="14.25">
      <c r="A49" s="37"/>
      <c r="B49" s="37"/>
      <c r="C49" s="37"/>
      <c r="D49" s="37"/>
      <c r="E49" s="37"/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0">
      <selection activeCell="M44" sqref="M44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04" t="s">
        <v>125</v>
      </c>
      <c r="B3" s="104"/>
      <c r="C3" s="104"/>
      <c r="D3" s="104"/>
      <c r="E3" s="104"/>
      <c r="F3" s="104"/>
      <c r="G3" s="104"/>
      <c r="H3" s="104"/>
      <c r="I3" s="104"/>
    </row>
    <row r="4" spans="1:9" ht="14.25">
      <c r="A4" s="106"/>
      <c r="B4" s="106"/>
      <c r="C4" s="106"/>
      <c r="D4" s="43"/>
      <c r="E4" s="37"/>
      <c r="F4" s="37"/>
      <c r="G4" s="37"/>
      <c r="H4" s="37"/>
      <c r="I4" s="37"/>
    </row>
    <row r="5" spans="1:9" ht="45">
      <c r="A5" s="49" t="s">
        <v>0</v>
      </c>
      <c r="B5" s="49" t="s">
        <v>1</v>
      </c>
      <c r="C5" s="51" t="s">
        <v>50</v>
      </c>
      <c r="D5" s="37"/>
      <c r="E5" s="37"/>
      <c r="F5" s="37"/>
      <c r="G5" s="37"/>
      <c r="H5" s="37"/>
      <c r="I5" s="37"/>
    </row>
    <row r="6" spans="1:9" ht="15">
      <c r="A6" s="40" t="s">
        <v>79</v>
      </c>
      <c r="B6" s="7" t="s">
        <v>6</v>
      </c>
      <c r="C6" s="47"/>
      <c r="D6" s="37"/>
      <c r="E6" s="37"/>
      <c r="F6" s="37"/>
      <c r="G6" s="37"/>
      <c r="H6" s="37"/>
      <c r="I6" s="37"/>
    </row>
    <row r="7" spans="1:9" ht="15">
      <c r="A7" s="40" t="s">
        <v>52</v>
      </c>
      <c r="B7" s="7" t="s">
        <v>39</v>
      </c>
      <c r="C7" s="47"/>
      <c r="D7" s="37"/>
      <c r="E7" s="37"/>
      <c r="F7" s="37"/>
      <c r="G7" s="37"/>
      <c r="H7" s="37"/>
      <c r="I7" s="37"/>
    </row>
    <row r="8" spans="1:9" ht="15">
      <c r="A8" s="40" t="s">
        <v>53</v>
      </c>
      <c r="B8" s="7" t="s">
        <v>8</v>
      </c>
      <c r="C8" s="47"/>
      <c r="D8" s="37"/>
      <c r="E8" s="37"/>
      <c r="F8" s="37"/>
      <c r="G8" s="37"/>
      <c r="H8" s="37"/>
      <c r="I8" s="37"/>
    </row>
    <row r="9" spans="1:9" ht="15">
      <c r="A9" s="40" t="s">
        <v>54</v>
      </c>
      <c r="B9" s="7" t="s">
        <v>9</v>
      </c>
      <c r="C9" s="47"/>
      <c r="D9" s="37"/>
      <c r="E9" s="37"/>
      <c r="F9" s="37"/>
      <c r="G9" s="37"/>
      <c r="H9" s="37"/>
      <c r="I9" s="37"/>
    </row>
    <row r="10" spans="1:9" ht="15">
      <c r="A10" s="40" t="s">
        <v>55</v>
      </c>
      <c r="B10" s="7" t="s">
        <v>10</v>
      </c>
      <c r="C10" s="47"/>
      <c r="D10" s="37"/>
      <c r="E10" s="37"/>
      <c r="F10" s="37"/>
      <c r="G10" s="37"/>
      <c r="H10" s="37"/>
      <c r="I10" s="37"/>
    </row>
    <row r="11" spans="1:9" ht="15">
      <c r="A11" s="40" t="s">
        <v>56</v>
      </c>
      <c r="B11" s="7" t="s">
        <v>11</v>
      </c>
      <c r="C11" s="47"/>
      <c r="D11" s="37"/>
      <c r="E11" s="37"/>
      <c r="F11" s="37"/>
      <c r="G11" s="37"/>
      <c r="H11" s="37"/>
      <c r="I11" s="37"/>
    </row>
    <row r="12" spans="1:9" ht="15">
      <c r="A12" s="40" t="s">
        <v>57</v>
      </c>
      <c r="B12" s="7" t="s">
        <v>12</v>
      </c>
      <c r="C12" s="47"/>
      <c r="D12" s="37"/>
      <c r="E12" s="37"/>
      <c r="F12" s="37"/>
      <c r="G12" s="37"/>
      <c r="H12" s="37"/>
      <c r="I12" s="37"/>
    </row>
    <row r="13" spans="1:9" ht="15">
      <c r="A13" s="40" t="s">
        <v>58</v>
      </c>
      <c r="B13" s="7" t="s">
        <v>13</v>
      </c>
      <c r="C13" s="47"/>
      <c r="D13" s="37"/>
      <c r="E13" s="37"/>
      <c r="F13" s="37"/>
      <c r="G13" s="37"/>
      <c r="H13" s="37"/>
      <c r="I13" s="37"/>
    </row>
    <row r="14" spans="1:9" ht="15">
      <c r="A14" s="40" t="s">
        <v>59</v>
      </c>
      <c r="B14" s="7" t="s">
        <v>112</v>
      </c>
      <c r="C14" s="47"/>
      <c r="D14" s="37"/>
      <c r="E14" s="37"/>
      <c r="F14" s="37"/>
      <c r="G14" s="37"/>
      <c r="H14" s="37"/>
      <c r="I14" s="37"/>
    </row>
    <row r="15" spans="1:9" ht="15">
      <c r="A15" s="40" t="s">
        <v>60</v>
      </c>
      <c r="B15" s="7" t="s">
        <v>14</v>
      </c>
      <c r="C15" s="47">
        <v>31450.32</v>
      </c>
      <c r="D15" s="37"/>
      <c r="E15" s="37"/>
      <c r="F15" s="37"/>
      <c r="G15" s="37"/>
      <c r="H15" s="37"/>
      <c r="I15" s="37"/>
    </row>
    <row r="16" spans="1:9" ht="15">
      <c r="A16" s="40" t="s">
        <v>61</v>
      </c>
      <c r="B16" s="7" t="s">
        <v>15</v>
      </c>
      <c r="C16" s="47"/>
      <c r="D16" s="37"/>
      <c r="E16" s="37"/>
      <c r="F16" s="37"/>
      <c r="G16" s="37"/>
      <c r="H16" s="37"/>
      <c r="I16" s="37"/>
    </row>
    <row r="17" spans="1:9" ht="15">
      <c r="A17" s="40" t="s">
        <v>62</v>
      </c>
      <c r="B17" s="7" t="s">
        <v>40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63</v>
      </c>
      <c r="B18" s="7" t="s">
        <v>17</v>
      </c>
      <c r="C18" s="47"/>
      <c r="D18" s="37"/>
      <c r="E18" s="37"/>
      <c r="F18" s="37"/>
      <c r="G18" s="37"/>
      <c r="H18" s="37"/>
      <c r="I18" s="37"/>
    </row>
    <row r="19" spans="1:9" ht="15">
      <c r="A19" s="40" t="s">
        <v>64</v>
      </c>
      <c r="B19" s="7" t="s">
        <v>18</v>
      </c>
      <c r="C19" s="47"/>
      <c r="D19" s="37"/>
      <c r="E19" s="37"/>
      <c r="F19" s="37"/>
      <c r="G19" s="37"/>
      <c r="H19" s="37"/>
      <c r="I19" s="37"/>
    </row>
    <row r="20" spans="1:9" ht="15">
      <c r="A20" s="40" t="s">
        <v>65</v>
      </c>
      <c r="B20" s="7" t="s">
        <v>19</v>
      </c>
      <c r="C20" s="47"/>
      <c r="D20" s="37"/>
      <c r="E20" s="37"/>
      <c r="F20" s="37"/>
      <c r="G20" s="37"/>
      <c r="H20" s="37"/>
      <c r="I20" s="37"/>
    </row>
    <row r="21" spans="1:9" ht="15">
      <c r="A21" s="40" t="s">
        <v>66</v>
      </c>
      <c r="B21" s="7" t="s">
        <v>20</v>
      </c>
      <c r="C21" s="47"/>
      <c r="D21" s="37"/>
      <c r="E21" s="37"/>
      <c r="F21" s="37"/>
      <c r="G21" s="37"/>
      <c r="H21" s="37"/>
      <c r="I21" s="37"/>
    </row>
    <row r="22" spans="1:9" ht="15">
      <c r="A22" s="40" t="s">
        <v>67</v>
      </c>
      <c r="B22" s="7" t="s">
        <v>21</v>
      </c>
      <c r="C22" s="47"/>
      <c r="D22" s="37"/>
      <c r="E22" s="37"/>
      <c r="F22" s="37"/>
      <c r="G22" s="37"/>
      <c r="H22" s="37"/>
      <c r="I22" s="37"/>
    </row>
    <row r="23" spans="1:9" ht="15">
      <c r="A23" s="40" t="s">
        <v>68</v>
      </c>
      <c r="B23" s="7" t="s">
        <v>22</v>
      </c>
      <c r="C23" s="47"/>
      <c r="D23" s="37"/>
      <c r="E23" s="37"/>
      <c r="F23" s="37"/>
      <c r="G23" s="37"/>
      <c r="H23" s="37"/>
      <c r="I23" s="37"/>
    </row>
    <row r="24" spans="1:9" ht="15">
      <c r="A24" s="40" t="s">
        <v>69</v>
      </c>
      <c r="B24" s="7" t="s">
        <v>23</v>
      </c>
      <c r="C24" s="47"/>
      <c r="D24" s="37"/>
      <c r="E24" s="37"/>
      <c r="F24" s="37"/>
      <c r="G24" s="37"/>
      <c r="H24" s="37"/>
      <c r="I24" s="37"/>
    </row>
    <row r="25" spans="1:9" ht="15">
      <c r="A25" s="40" t="s">
        <v>70</v>
      </c>
      <c r="B25" s="7" t="s">
        <v>24</v>
      </c>
      <c r="C25" s="47"/>
      <c r="D25" s="37"/>
      <c r="E25" s="37"/>
      <c r="F25" s="37"/>
      <c r="G25" s="37"/>
      <c r="H25" s="37"/>
      <c r="I25" s="37"/>
    </row>
    <row r="26" spans="1:9" ht="15">
      <c r="A26" s="40" t="s">
        <v>71</v>
      </c>
      <c r="B26" s="7" t="s">
        <v>25</v>
      </c>
      <c r="C26" s="47"/>
      <c r="D26" s="37"/>
      <c r="E26" s="37"/>
      <c r="F26" s="37"/>
      <c r="G26" s="37"/>
      <c r="H26" s="37"/>
      <c r="I26" s="37"/>
    </row>
    <row r="27" spans="1:9" ht="15">
      <c r="A27" s="40" t="s">
        <v>72</v>
      </c>
      <c r="B27" s="7" t="s">
        <v>26</v>
      </c>
      <c r="C27" s="47"/>
      <c r="D27" s="37"/>
      <c r="E27" s="37"/>
      <c r="F27" s="37"/>
      <c r="G27" s="37"/>
      <c r="H27" s="37"/>
      <c r="I27" s="37"/>
    </row>
    <row r="28" spans="1:9" ht="15">
      <c r="A28" s="40" t="s">
        <v>73</v>
      </c>
      <c r="B28" s="7" t="s">
        <v>27</v>
      </c>
      <c r="C28" s="47"/>
      <c r="D28" s="37"/>
      <c r="E28" s="37"/>
      <c r="F28" s="37"/>
      <c r="G28" s="37"/>
      <c r="H28" s="37"/>
      <c r="I28" s="37"/>
    </row>
    <row r="29" spans="1:9" ht="15">
      <c r="A29" s="40" t="s">
        <v>74</v>
      </c>
      <c r="B29" s="7" t="s">
        <v>28</v>
      </c>
      <c r="C29" s="47"/>
      <c r="D29" s="37"/>
      <c r="E29" s="37"/>
      <c r="F29" s="37"/>
      <c r="G29" s="37"/>
      <c r="H29" s="37"/>
      <c r="I29" s="37"/>
    </row>
    <row r="30" spans="1:9" ht="15">
      <c r="A30" s="40" t="s">
        <v>75</v>
      </c>
      <c r="B30" s="7" t="s">
        <v>29</v>
      </c>
      <c r="C30" s="47"/>
      <c r="D30" s="37"/>
      <c r="E30" s="37"/>
      <c r="F30" s="37"/>
      <c r="G30" s="37"/>
      <c r="H30" s="37"/>
      <c r="I30" s="37"/>
    </row>
    <row r="31" spans="1:9" ht="15">
      <c r="A31" s="40" t="s">
        <v>76</v>
      </c>
      <c r="B31" s="7" t="s">
        <v>30</v>
      </c>
      <c r="C31" s="47"/>
      <c r="D31" s="37"/>
      <c r="E31" s="37"/>
      <c r="F31" s="37"/>
      <c r="G31" s="37"/>
      <c r="H31" s="37"/>
      <c r="I31" s="37"/>
    </row>
    <row r="32" spans="1:9" ht="15">
      <c r="A32" s="40" t="s">
        <v>77</v>
      </c>
      <c r="B32" s="7" t="s">
        <v>31</v>
      </c>
      <c r="C32" s="47"/>
      <c r="D32" s="37"/>
      <c r="E32" s="37"/>
      <c r="F32" s="37"/>
      <c r="G32" s="37"/>
      <c r="H32" s="37"/>
      <c r="I32" s="37"/>
    </row>
    <row r="33" spans="1:9" ht="15">
      <c r="A33" s="40" t="s">
        <v>78</v>
      </c>
      <c r="B33" s="7" t="s">
        <v>32</v>
      </c>
      <c r="C33" s="47">
        <v>1613.28</v>
      </c>
      <c r="D33" s="37"/>
      <c r="E33" s="37"/>
      <c r="F33" s="37"/>
      <c r="G33" s="37"/>
      <c r="H33" s="37"/>
      <c r="I33" s="37"/>
    </row>
    <row r="34" spans="1:9" ht="15">
      <c r="A34" s="40" t="s">
        <v>80</v>
      </c>
      <c r="B34" s="7" t="s">
        <v>33</v>
      </c>
      <c r="C34" s="47"/>
      <c r="D34" s="37"/>
      <c r="E34" s="37"/>
      <c r="F34" s="37"/>
      <c r="G34" s="37"/>
      <c r="H34" s="37"/>
      <c r="I34" s="37"/>
    </row>
    <row r="35" spans="1:9" ht="15">
      <c r="A35" s="40" t="s">
        <v>81</v>
      </c>
      <c r="B35" s="7" t="s">
        <v>34</v>
      </c>
      <c r="C35" s="47"/>
      <c r="D35" s="37"/>
      <c r="E35" s="37"/>
      <c r="F35" s="37"/>
      <c r="G35" s="37"/>
      <c r="H35" s="37"/>
      <c r="I35" s="37"/>
    </row>
    <row r="36" spans="1:9" ht="15">
      <c r="A36" s="40" t="s">
        <v>82</v>
      </c>
      <c r="B36" s="7" t="s">
        <v>87</v>
      </c>
      <c r="C36" s="47"/>
      <c r="D36" s="37"/>
      <c r="E36" s="37"/>
      <c r="F36" s="37"/>
      <c r="G36" s="37"/>
      <c r="H36" s="37"/>
      <c r="I36" s="37"/>
    </row>
    <row r="37" spans="1:9" ht="15">
      <c r="A37" s="40" t="s">
        <v>83</v>
      </c>
      <c r="B37" s="7" t="s">
        <v>89</v>
      </c>
      <c r="C37" s="47"/>
      <c r="D37" s="37"/>
      <c r="E37" s="37"/>
      <c r="F37" s="37"/>
      <c r="G37" s="37"/>
      <c r="H37" s="37"/>
      <c r="I37" s="37"/>
    </row>
    <row r="38" spans="1:9" ht="15">
      <c r="A38" s="40" t="s">
        <v>84</v>
      </c>
      <c r="B38" s="7" t="s">
        <v>90</v>
      </c>
      <c r="C38" s="47"/>
      <c r="D38" s="37"/>
      <c r="E38" s="37"/>
      <c r="F38" s="37"/>
      <c r="G38" s="37"/>
      <c r="H38" s="37"/>
      <c r="I38" s="37"/>
    </row>
    <row r="39" spans="1:9" ht="15">
      <c r="A39" s="40" t="s">
        <v>85</v>
      </c>
      <c r="B39" s="7" t="s">
        <v>93</v>
      </c>
      <c r="C39" s="47"/>
      <c r="D39" s="37"/>
      <c r="E39" s="37"/>
      <c r="F39" s="37"/>
      <c r="G39" s="37"/>
      <c r="H39" s="37"/>
      <c r="I39" s="37"/>
    </row>
    <row r="40" spans="1:9" ht="15">
      <c r="A40" s="40" t="s">
        <v>86</v>
      </c>
      <c r="B40" s="7" t="s">
        <v>94</v>
      </c>
      <c r="C40" s="47"/>
      <c r="D40" s="37"/>
      <c r="E40" s="37"/>
      <c r="F40" s="37"/>
      <c r="G40" s="37"/>
      <c r="H40" s="37"/>
      <c r="I40" s="37"/>
    </row>
    <row r="41" spans="1:9" ht="15">
      <c r="A41" s="40" t="s">
        <v>91</v>
      </c>
      <c r="B41" s="7" t="s">
        <v>98</v>
      </c>
      <c r="C41" s="47"/>
      <c r="D41" s="37"/>
      <c r="E41" s="37"/>
      <c r="F41" s="37"/>
      <c r="G41" s="37"/>
      <c r="H41" s="37"/>
      <c r="I41" s="37"/>
    </row>
    <row r="42" spans="1:9" ht="15">
      <c r="A42" s="40" t="s">
        <v>115</v>
      </c>
      <c r="B42" s="7" t="s">
        <v>113</v>
      </c>
      <c r="C42" s="47"/>
      <c r="D42" s="37"/>
      <c r="E42" s="37"/>
      <c r="F42" s="37"/>
      <c r="G42" s="37"/>
      <c r="H42" s="37"/>
      <c r="I42" s="37"/>
    </row>
    <row r="43" spans="1:9" ht="15.75" thickBot="1">
      <c r="A43" s="40" t="s">
        <v>116</v>
      </c>
      <c r="B43" s="7" t="s">
        <v>114</v>
      </c>
      <c r="C43" s="47"/>
      <c r="D43" s="37"/>
      <c r="E43" s="37"/>
      <c r="F43" s="37"/>
      <c r="G43" s="37"/>
      <c r="H43" s="37"/>
      <c r="I43" s="37"/>
    </row>
    <row r="44" spans="1:9" ht="15.75" thickBot="1">
      <c r="A44" s="54"/>
      <c r="B44" s="55" t="s">
        <v>35</v>
      </c>
      <c r="C44" s="93">
        <f>SUM(C6:C41)</f>
        <v>33063.6</v>
      </c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2019-12-17T07:15:25Z</cp:lastPrinted>
  <dcterms:created xsi:type="dcterms:W3CDTF">2011-06-30T06:54:46Z</dcterms:created>
  <dcterms:modified xsi:type="dcterms:W3CDTF">2019-12-18T09:00:23Z</dcterms:modified>
  <cp:category/>
  <cp:version/>
  <cp:contentType/>
  <cp:contentStatus/>
</cp:coreProperties>
</file>